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500" activeTab="0"/>
  </bookViews>
  <sheets>
    <sheet name="2016决算及2017预算（草案）" sheetId="1" r:id="rId1"/>
    <sheet name="公共支出明细表（草案）" sheetId="2" r:id="rId2"/>
    <sheet name="基金预算支出明细表（草案）" sheetId="3" r:id="rId3"/>
  </sheets>
  <definedNames>
    <definedName name="_xlnm.Print_Area" localSheetId="0">'2016决算及2017预算（草案）'!$A$1:$BB$39</definedName>
    <definedName name="_xlnm.Print_Area" localSheetId="1">'公共支出明细表（草案）'!$A$1:$I$149</definedName>
    <definedName name="_xlnm.Print_Area" localSheetId="2">'基金预算支出明细表（草案）'!$A$1:$I$37</definedName>
    <definedName name="_xlnm.Print_Titles" localSheetId="1">'公共支出明细表（草案）'!$5:$5</definedName>
  </definedNames>
  <calcPr fullCalcOnLoad="1"/>
</workbook>
</file>

<file path=xl/sharedStrings.xml><?xml version="1.0" encoding="utf-8"?>
<sst xmlns="http://schemas.openxmlformats.org/spreadsheetml/2006/main" count="315" uniqueCount="276">
  <si>
    <t>附件1：</t>
  </si>
  <si>
    <t>神湾镇2016年财政决算及2017年财政预算收支情况表(草案）</t>
  </si>
  <si>
    <t>编制单位:中山市财政局神湾分局</t>
  </si>
  <si>
    <r>
      <t>单位</t>
    </r>
    <r>
      <rPr>
        <sz val="16"/>
        <rFont val="Times New Roman"/>
        <family val="1"/>
      </rPr>
      <t>:</t>
    </r>
    <r>
      <rPr>
        <sz val="16"/>
        <rFont val="仿宋_GB2312"/>
        <family val="3"/>
      </rPr>
      <t>万元</t>
    </r>
  </si>
  <si>
    <t>单位：万元</t>
  </si>
  <si>
    <t>收入项目</t>
  </si>
  <si>
    <r>
      <t>08</t>
    </r>
    <r>
      <rPr>
        <sz val="16"/>
        <rFont val="黑体"/>
        <family val="0"/>
      </rPr>
      <t>比</t>
    </r>
    <r>
      <rPr>
        <sz val="16"/>
        <rFont val="Times New Roman"/>
        <family val="1"/>
      </rPr>
      <t>07</t>
    </r>
    <r>
      <rPr>
        <sz val="16"/>
        <rFont val="黑体"/>
        <family val="0"/>
      </rPr>
      <t>决算增长数</t>
    </r>
  </si>
  <si>
    <r>
      <t>09</t>
    </r>
    <r>
      <rPr>
        <sz val="16"/>
        <rFont val="黑体"/>
        <family val="0"/>
      </rPr>
      <t>比</t>
    </r>
    <r>
      <rPr>
        <sz val="16"/>
        <rFont val="Times New Roman"/>
        <family val="1"/>
      </rPr>
      <t>08</t>
    </r>
    <r>
      <rPr>
        <sz val="16"/>
        <rFont val="黑体"/>
        <family val="0"/>
      </rPr>
      <t>预算增长数</t>
    </r>
  </si>
  <si>
    <r>
      <t>2010</t>
    </r>
    <r>
      <rPr>
        <sz val="16"/>
        <rFont val="黑体"/>
        <family val="0"/>
      </rPr>
      <t>年决算</t>
    </r>
  </si>
  <si>
    <r>
      <t>2011</t>
    </r>
    <r>
      <rPr>
        <sz val="16"/>
        <rFont val="黑体"/>
        <family val="0"/>
      </rPr>
      <t>年预算</t>
    </r>
  </si>
  <si>
    <r>
      <t>2011</t>
    </r>
    <r>
      <rPr>
        <sz val="16"/>
        <rFont val="黑体"/>
        <family val="0"/>
      </rPr>
      <t>年决算</t>
    </r>
  </si>
  <si>
    <r>
      <t>2012</t>
    </r>
    <r>
      <rPr>
        <sz val="16"/>
        <rFont val="黑体"/>
        <family val="0"/>
      </rPr>
      <t>年预算</t>
    </r>
  </si>
  <si>
    <r>
      <t>2013</t>
    </r>
    <r>
      <rPr>
        <sz val="16"/>
        <rFont val="黑体"/>
        <family val="0"/>
      </rPr>
      <t>年决算</t>
    </r>
  </si>
  <si>
    <r>
      <t>2014</t>
    </r>
    <r>
      <rPr>
        <sz val="16"/>
        <rFont val="黑体"/>
        <family val="0"/>
      </rPr>
      <t>年预算</t>
    </r>
  </si>
  <si>
    <r>
      <t>2014</t>
    </r>
    <r>
      <rPr>
        <sz val="16"/>
        <rFont val="黑体"/>
        <family val="0"/>
      </rPr>
      <t>年决算</t>
    </r>
  </si>
  <si>
    <r>
      <t>2015</t>
    </r>
    <r>
      <rPr>
        <sz val="16"/>
        <rFont val="黑体"/>
        <family val="0"/>
      </rPr>
      <t>年预算</t>
    </r>
  </si>
  <si>
    <r>
      <t>2014</t>
    </r>
    <r>
      <rPr>
        <sz val="12"/>
        <rFont val="黑体"/>
        <family val="0"/>
      </rPr>
      <t>年决算比</t>
    </r>
    <r>
      <rPr>
        <sz val="12"/>
        <rFont val="Times New Roman"/>
        <family val="1"/>
      </rPr>
      <t>2013</t>
    </r>
    <r>
      <rPr>
        <sz val="12"/>
        <rFont val="黑体"/>
        <family val="0"/>
      </rPr>
      <t>年决算增长</t>
    </r>
  </si>
  <si>
    <r>
      <t>2015</t>
    </r>
    <r>
      <rPr>
        <sz val="12"/>
        <rFont val="宋体"/>
        <family val="0"/>
      </rPr>
      <t>年决算</t>
    </r>
  </si>
  <si>
    <r>
      <t>2016</t>
    </r>
    <r>
      <rPr>
        <sz val="16"/>
        <rFont val="宋体"/>
        <family val="0"/>
      </rPr>
      <t>年预算</t>
    </r>
  </si>
  <si>
    <r>
      <t>2014</t>
    </r>
    <r>
      <rPr>
        <sz val="15"/>
        <rFont val="黑体"/>
        <family val="0"/>
      </rPr>
      <t>年预算
执行情况</t>
    </r>
  </si>
  <si>
    <r>
      <t>2015</t>
    </r>
    <r>
      <rPr>
        <sz val="12"/>
        <rFont val="黑体"/>
        <family val="0"/>
      </rPr>
      <t>年预算比</t>
    </r>
    <r>
      <rPr>
        <sz val="12"/>
        <rFont val="Times New Roman"/>
        <family val="1"/>
      </rPr>
      <t>2014</t>
    </r>
    <r>
      <rPr>
        <sz val="12"/>
        <rFont val="黑体"/>
        <family val="0"/>
      </rPr>
      <t>年决算增长</t>
    </r>
  </si>
  <si>
    <r>
      <t>2012</t>
    </r>
    <r>
      <rPr>
        <sz val="12"/>
        <rFont val="黑体"/>
        <family val="0"/>
      </rPr>
      <t>年决算比</t>
    </r>
    <r>
      <rPr>
        <sz val="12"/>
        <rFont val="Times New Roman"/>
        <family val="1"/>
      </rPr>
      <t>2011</t>
    </r>
    <r>
      <rPr>
        <sz val="12"/>
        <rFont val="黑体"/>
        <family val="0"/>
      </rPr>
      <t>年决算增长</t>
    </r>
  </si>
  <si>
    <r>
      <t>2012</t>
    </r>
    <r>
      <rPr>
        <sz val="15"/>
        <rFont val="黑体"/>
        <family val="0"/>
      </rPr>
      <t>年预算
执行情况</t>
    </r>
  </si>
  <si>
    <r>
      <t>2013</t>
    </r>
    <r>
      <rPr>
        <sz val="12"/>
        <rFont val="黑体"/>
        <family val="0"/>
      </rPr>
      <t>年预算比</t>
    </r>
    <r>
      <rPr>
        <sz val="12"/>
        <rFont val="Times New Roman"/>
        <family val="1"/>
      </rPr>
      <t>2012</t>
    </r>
    <r>
      <rPr>
        <sz val="12"/>
        <rFont val="黑体"/>
        <family val="0"/>
      </rPr>
      <t>年决算增长</t>
    </r>
  </si>
  <si>
    <r>
      <t>2011</t>
    </r>
    <r>
      <rPr>
        <sz val="15"/>
        <rFont val="黑体"/>
        <family val="0"/>
      </rPr>
      <t>年决算比</t>
    </r>
    <r>
      <rPr>
        <sz val="15"/>
        <rFont val="Times New Roman"/>
        <family val="1"/>
      </rPr>
      <t>2010</t>
    </r>
    <r>
      <rPr>
        <sz val="15"/>
        <rFont val="黑体"/>
        <family val="0"/>
      </rPr>
      <t>年决算</t>
    </r>
  </si>
  <si>
    <r>
      <t>2011</t>
    </r>
    <r>
      <rPr>
        <sz val="15"/>
        <rFont val="黑体"/>
        <family val="0"/>
      </rPr>
      <t>年预算执行情况</t>
    </r>
  </si>
  <si>
    <r>
      <t>2012</t>
    </r>
    <r>
      <rPr>
        <sz val="15"/>
        <rFont val="黑体"/>
        <family val="0"/>
      </rPr>
      <t>年预算比</t>
    </r>
    <r>
      <rPr>
        <sz val="15"/>
        <rFont val="Times New Roman"/>
        <family val="1"/>
      </rPr>
      <t>2011</t>
    </r>
    <r>
      <rPr>
        <sz val="15"/>
        <rFont val="黑体"/>
        <family val="0"/>
      </rPr>
      <t>年决算</t>
    </r>
  </si>
  <si>
    <r>
      <t>2016</t>
    </r>
    <r>
      <rPr>
        <sz val="15"/>
        <rFont val="宋体"/>
        <family val="0"/>
      </rPr>
      <t>年决算</t>
    </r>
  </si>
  <si>
    <r>
      <t>2017</t>
    </r>
    <r>
      <rPr>
        <sz val="15"/>
        <rFont val="宋体"/>
        <family val="0"/>
      </rPr>
      <t>年预算</t>
    </r>
  </si>
  <si>
    <r>
      <t>2016</t>
    </r>
    <r>
      <rPr>
        <sz val="15"/>
        <rFont val="黑体"/>
        <family val="0"/>
      </rPr>
      <t>年预算
执行情况</t>
    </r>
  </si>
  <si>
    <r>
      <t>2017</t>
    </r>
    <r>
      <rPr>
        <sz val="12"/>
        <rFont val="黑体"/>
        <family val="0"/>
      </rPr>
      <t>预算同比实绩增长</t>
    </r>
  </si>
  <si>
    <t>支出项目</t>
  </si>
  <si>
    <r>
      <t>2012</t>
    </r>
    <r>
      <rPr>
        <sz val="16"/>
        <rFont val="黑体"/>
        <family val="0"/>
      </rPr>
      <t>预算</t>
    </r>
    <r>
      <rPr>
        <sz val="16"/>
        <rFont val="Times New Roman"/>
        <family val="1"/>
      </rPr>
      <t xml:space="preserve"> </t>
    </r>
  </si>
  <si>
    <t xml:space="preserve"> 一、一般公共财政预算收入合计</t>
  </si>
  <si>
    <t>一、一般公共财政预算支出合计</t>
  </si>
  <si>
    <t>（一）税收分成收入</t>
  </si>
  <si>
    <t>　（一）一般公共服务支出</t>
  </si>
  <si>
    <t>　（二）公共安全支出</t>
  </si>
  <si>
    <t>（二）非税收入</t>
  </si>
  <si>
    <t>　（三）教育支出</t>
  </si>
  <si>
    <t xml:space="preserve">  1、专项收入</t>
  </si>
  <si>
    <t>　（四）科学技术支出</t>
  </si>
  <si>
    <t xml:space="preserve">       （1）市返专项收入</t>
  </si>
  <si>
    <t>　（五）文化体育与传媒支出</t>
  </si>
  <si>
    <t>　（六）社会保障和就业支出</t>
  </si>
  <si>
    <t xml:space="preserve">  2、行政事业性收费收入</t>
  </si>
  <si>
    <t>　（七）医疗卫生与计划生育支出</t>
  </si>
  <si>
    <t xml:space="preserve">       （1）本镇区征收收费收入</t>
  </si>
  <si>
    <t>　（八）节能环保支出</t>
  </si>
  <si>
    <t xml:space="preserve">       （2）市返收费收入</t>
  </si>
  <si>
    <t xml:space="preserve">  （九）城乡社区支出</t>
  </si>
  <si>
    <t xml:space="preserve">  （十）农林水支出</t>
  </si>
  <si>
    <t xml:space="preserve">  3、罚没收入</t>
  </si>
  <si>
    <t>　（十一）交通运输支出</t>
  </si>
  <si>
    <t xml:space="preserve">  （十二）资源勘探信息等支出</t>
  </si>
  <si>
    <t xml:space="preserve">  4、国有资本经营收入</t>
  </si>
  <si>
    <t xml:space="preserve">  （十三）商业服务业等支出</t>
  </si>
  <si>
    <t xml:space="preserve">  （十四）国土海洋气象等支出</t>
  </si>
  <si>
    <t xml:space="preserve">  5、国有资源(资产)有偿使用收入</t>
  </si>
  <si>
    <t xml:space="preserve">  （十五）预备费</t>
  </si>
  <si>
    <t xml:space="preserve">  （十六）金融支出</t>
  </si>
  <si>
    <t xml:space="preserve">  6、其他收入</t>
  </si>
  <si>
    <t xml:space="preserve">  （十七）住房保障支出</t>
  </si>
  <si>
    <t xml:space="preserve">  （十八）其他支出</t>
  </si>
  <si>
    <t>二、上级补助收入</t>
  </si>
  <si>
    <t xml:space="preserve">  （十九）债务还本支出</t>
  </si>
  <si>
    <t xml:space="preserve">   （一）一般性转移支付收入</t>
  </si>
  <si>
    <t xml:space="preserve">  （二十）债务付息支出</t>
  </si>
  <si>
    <t xml:space="preserve">   （二）专项转移支付收入</t>
  </si>
  <si>
    <t xml:space="preserve">  （二十一）债务发行费用支出</t>
  </si>
  <si>
    <t>三、基金预算收入</t>
  </si>
  <si>
    <t>二、基金预算支出</t>
  </si>
  <si>
    <t>（一）政府性基金非税收入</t>
  </si>
  <si>
    <t xml:space="preserve">   （一）社会保障和就业支出</t>
  </si>
  <si>
    <t>（二）政府性基金补助收入</t>
  </si>
  <si>
    <t xml:space="preserve">   （二）城乡社区支出</t>
  </si>
  <si>
    <t xml:space="preserve">   （三）资源勘探信息等支出</t>
  </si>
  <si>
    <t>四、债务转贷收入</t>
  </si>
  <si>
    <t xml:space="preserve">   （四）其他支出</t>
  </si>
  <si>
    <t xml:space="preserve">   （五）债务还本支出</t>
  </si>
  <si>
    <t>收入合计</t>
  </si>
  <si>
    <t xml:space="preserve">   （六）债务付息支出</t>
  </si>
  <si>
    <t xml:space="preserve">   （七）债务发行费用支出</t>
  </si>
  <si>
    <t>四、上年结余</t>
  </si>
  <si>
    <t>支出合计</t>
  </si>
  <si>
    <t>财政总收入合计</t>
  </si>
  <si>
    <t>财政总支出合计</t>
  </si>
  <si>
    <r>
      <t>附件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：</t>
    </r>
  </si>
  <si>
    <t>神湾镇2017年一般公共财政预算支出明细表(草案)</t>
  </si>
  <si>
    <t>编制单位：中山市财政局神湾分局</t>
  </si>
  <si>
    <r>
      <t>单位</t>
    </r>
    <r>
      <rPr>
        <sz val="14"/>
        <rFont val="Times New Roman"/>
        <family val="1"/>
      </rPr>
      <t>:</t>
    </r>
    <r>
      <rPr>
        <sz val="14"/>
        <rFont val="仿宋_GB2312"/>
        <family val="3"/>
      </rPr>
      <t>万元</t>
    </r>
  </si>
  <si>
    <t>科目名称</t>
  </si>
  <si>
    <t>2015预算数</t>
  </si>
  <si>
    <t>2015决算数</t>
  </si>
  <si>
    <t>2016预算数</t>
  </si>
  <si>
    <t>2016决算数</t>
  </si>
  <si>
    <t>2017预算数</t>
  </si>
  <si>
    <r>
      <t>较上年预算数增减</t>
    </r>
    <r>
      <rPr>
        <sz val="12"/>
        <rFont val="Times New Roman"/>
        <family val="1"/>
      </rPr>
      <t>%</t>
    </r>
  </si>
  <si>
    <r>
      <t>较上年决算数增减</t>
    </r>
    <r>
      <rPr>
        <sz val="12"/>
        <rFont val="Times New Roman"/>
        <family val="1"/>
      </rPr>
      <t>%</t>
    </r>
  </si>
  <si>
    <t>备  注</t>
  </si>
  <si>
    <t>一般公共服务支出</t>
  </si>
  <si>
    <t xml:space="preserve">    人大事务 </t>
  </si>
  <si>
    <t xml:space="preserve">    政协事务 </t>
  </si>
  <si>
    <t xml:space="preserve">    政府办公厅（室）及相关机构事务 </t>
  </si>
  <si>
    <t xml:space="preserve">    发展与改革事务 </t>
  </si>
  <si>
    <t xml:space="preserve">    统计信息事务 </t>
  </si>
  <si>
    <t xml:space="preserve">    财政事务 </t>
  </si>
  <si>
    <t xml:space="preserve">    税收事务</t>
  </si>
  <si>
    <t xml:space="preserve">    审计事务 </t>
  </si>
  <si>
    <t xml:space="preserve">    海关事务</t>
  </si>
  <si>
    <t xml:space="preserve">    人力资源事务 </t>
  </si>
  <si>
    <t xml:space="preserve">    纪检监察事务 </t>
  </si>
  <si>
    <t xml:space="preserve">    商贸事务 </t>
  </si>
  <si>
    <t xml:space="preserve">    工商行政管理事务</t>
  </si>
  <si>
    <t xml:space="preserve">    质量技术监督与检验检疫事务</t>
  </si>
  <si>
    <t xml:space="preserve">    港澳台侨事务 </t>
  </si>
  <si>
    <t xml:space="preserve">    档案事务</t>
  </si>
  <si>
    <t xml:space="preserve">    群众团体事务 </t>
  </si>
  <si>
    <t xml:space="preserve">    党委办公室及相关机构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</si>
  <si>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</si>
  <si>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</si>
  <si>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</si>
  <si>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</si>
  <si>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</t>
  </si>
  <si>
    <t xml:space="preserve">    其他一般公共服务支出 </t>
  </si>
  <si>
    <t>公共安全支出</t>
  </si>
  <si>
    <t xml:space="preserve">    武装警察 </t>
  </si>
  <si>
    <t xml:space="preserve">    公安 </t>
  </si>
  <si>
    <t xml:space="preserve">    国家安全</t>
  </si>
  <si>
    <t xml:space="preserve">    司法 </t>
  </si>
  <si>
    <t xml:space="preserve">    强制隔离戒毒</t>
  </si>
  <si>
    <t xml:space="preserve">    缉私警察</t>
  </si>
  <si>
    <t xml:space="preserve">    其他公共安全支出 </t>
  </si>
  <si>
    <t>教育支出</t>
  </si>
  <si>
    <t xml:space="preserve">    教育管理事务 </t>
  </si>
  <si>
    <t xml:space="preserve">    普通教育 </t>
  </si>
  <si>
    <t xml:space="preserve">    职业教育</t>
  </si>
  <si>
    <t xml:space="preserve">    成人教育</t>
  </si>
  <si>
    <t xml:space="preserve">    特殊教育</t>
  </si>
  <si>
    <t xml:space="preserve">    进修及培训</t>
  </si>
  <si>
    <t xml:space="preserve">    教育附加安排的支出</t>
  </si>
  <si>
    <t xml:space="preserve">    其他教育支出 </t>
  </si>
  <si>
    <t xml:space="preserve">科学技术支出 </t>
  </si>
  <si>
    <t xml:space="preserve">    科学技术管理事务</t>
  </si>
  <si>
    <t xml:space="preserve">    技术研究与开发 </t>
  </si>
  <si>
    <t xml:space="preserve">    科学条件与服务</t>
  </si>
  <si>
    <t xml:space="preserve">    科技交流与合作</t>
  </si>
  <si>
    <t xml:space="preserve">    其他科学技术支出</t>
  </si>
  <si>
    <t xml:space="preserve">文化体育与传媒支出 </t>
  </si>
  <si>
    <t xml:space="preserve">    文化 </t>
  </si>
  <si>
    <t xml:space="preserve">    文物</t>
  </si>
  <si>
    <t xml:space="preserve">    体育 </t>
  </si>
  <si>
    <t xml:space="preserve">    新闻出版广播影视 </t>
  </si>
  <si>
    <t xml:space="preserve">    其他文化体育与传媒支出 </t>
  </si>
  <si>
    <t xml:space="preserve">社会保障和就业支出  </t>
  </si>
  <si>
    <t xml:space="preserve">    人力资源和社会保障管理事务 </t>
  </si>
  <si>
    <t xml:space="preserve">    民政管理事务 </t>
  </si>
  <si>
    <t xml:space="preserve">    财政对社会保险基金补助 </t>
  </si>
  <si>
    <t xml:space="preserve">    行政事业单位离退休</t>
  </si>
  <si>
    <t xml:space="preserve">    就业补助</t>
  </si>
  <si>
    <t xml:space="preserve">    抚恤</t>
  </si>
  <si>
    <t xml:space="preserve">    退役安置</t>
  </si>
  <si>
    <t xml:space="preserve">    社会福利 </t>
  </si>
  <si>
    <t xml:space="preserve">    残疾人事业 </t>
  </si>
  <si>
    <t xml:space="preserve">    城市居民最低生活保障 </t>
  </si>
  <si>
    <t xml:space="preserve">    其他城市生活救助</t>
  </si>
  <si>
    <t xml:space="preserve">    红十字事业 </t>
  </si>
  <si>
    <t xml:space="preserve">    农村最低生活保障 </t>
  </si>
  <si>
    <t xml:space="preserve">    临时救助</t>
  </si>
  <si>
    <t xml:space="preserve">    特困人员供养</t>
  </si>
  <si>
    <t xml:space="preserve">    其他生活救助</t>
  </si>
  <si>
    <t xml:space="preserve">    其他社会保障和就业支出 </t>
  </si>
  <si>
    <t xml:space="preserve">医疗卫生与计划生育支出 </t>
  </si>
  <si>
    <t>    医疗卫生管理事务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</si>
  <si>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</si>
  <si>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</si>
  <si>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</si>
  <si>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</si>
  <si>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人口与计划生育</t>
  </si>
  <si>
    <t xml:space="preserve">    食品和药品监督管理事务</t>
  </si>
  <si>
    <t xml:space="preserve">    医疗救助</t>
  </si>
  <si>
    <t xml:space="preserve">    财政对基本医疗保险基金的补助</t>
  </si>
  <si>
    <t xml:space="preserve">    其他医疗卫生支出</t>
  </si>
  <si>
    <t xml:space="preserve">节能环保支出 </t>
  </si>
  <si>
    <t xml:space="preserve">    环境保护管理事务 </t>
  </si>
  <si>
    <t xml:space="preserve">    环境监测与监察 </t>
  </si>
  <si>
    <t xml:space="preserve">    污染防治 </t>
  </si>
  <si>
    <t xml:space="preserve">    自然生态保护</t>
  </si>
  <si>
    <t xml:space="preserve">    能源节约利用</t>
  </si>
  <si>
    <t xml:space="preserve">    污染减排</t>
  </si>
  <si>
    <t xml:space="preserve">    其他节能环保支出 </t>
  </si>
  <si>
    <t xml:space="preserve">城乡社区支出  </t>
  </si>
  <si>
    <t xml:space="preserve">    城乡社区管理事务 </t>
  </si>
  <si>
    <t xml:space="preserve">    城乡社区规划与管理 </t>
  </si>
  <si>
    <t xml:space="preserve">    城乡社区公共设施 </t>
  </si>
  <si>
    <t xml:space="preserve">    城乡社区环境卫生 </t>
  </si>
  <si>
    <t xml:space="preserve">    建设市场管理与监督</t>
  </si>
  <si>
    <t xml:space="preserve">    其他城乡社区事务支出 </t>
  </si>
  <si>
    <t xml:space="preserve">农林水支出  </t>
  </si>
  <si>
    <t xml:space="preserve">    农业 </t>
  </si>
  <si>
    <t xml:space="preserve">    林业 </t>
  </si>
  <si>
    <t xml:space="preserve">    水利 </t>
  </si>
  <si>
    <t xml:space="preserve">    扶贫 </t>
  </si>
  <si>
    <t xml:space="preserve">    农村综合改革</t>
  </si>
  <si>
    <t xml:space="preserve">    农业综合开发</t>
  </si>
  <si>
    <t xml:space="preserve">    其他农林水支出</t>
  </si>
  <si>
    <t xml:space="preserve">交通运输支出  </t>
  </si>
  <si>
    <t xml:space="preserve">    公路水路运输 </t>
  </si>
  <si>
    <t>    石油价格改革对交通运输的补贴</t>
  </si>
  <si>
    <t xml:space="preserve">    其他交通运输支出</t>
  </si>
  <si>
    <t xml:space="preserve">资源勘探信息等支出  </t>
  </si>
  <si>
    <t xml:space="preserve">    制造业</t>
  </si>
  <si>
    <t xml:space="preserve">    电力监管支出</t>
  </si>
  <si>
    <t xml:space="preserve">    支持中小企业发展和管理支出</t>
  </si>
  <si>
    <t xml:space="preserve">    工业和信息产业监管</t>
  </si>
  <si>
    <t xml:space="preserve">    安全生产监督 </t>
  </si>
  <si>
    <t xml:space="preserve">商业服务业等支出 </t>
  </si>
  <si>
    <t xml:space="preserve">    商业流通事务</t>
  </si>
  <si>
    <t xml:space="preserve">    旅游业管理与服务支出</t>
  </si>
  <si>
    <t xml:space="preserve">    涉外发展服务支出 </t>
  </si>
  <si>
    <t xml:space="preserve">    其他商业服务业等事务支出</t>
  </si>
  <si>
    <t>金融支出</t>
  </si>
  <si>
    <t xml:space="preserve">    金融部门行政支出</t>
  </si>
  <si>
    <t xml:space="preserve">    金融发展支出</t>
  </si>
  <si>
    <t xml:space="preserve">    其他金融监管等事务支出</t>
  </si>
  <si>
    <t>住房保障支出</t>
  </si>
  <si>
    <t xml:space="preserve">    保障性安居工程支出</t>
  </si>
  <si>
    <t xml:space="preserve">    住房改革支出</t>
  </si>
  <si>
    <t xml:space="preserve">    城乡社区住宅</t>
  </si>
  <si>
    <t xml:space="preserve">国土资源气象等支出 </t>
  </si>
  <si>
    <t xml:space="preserve">    国土资源事务</t>
  </si>
  <si>
    <t xml:space="preserve">    地震事务</t>
  </si>
  <si>
    <t>粮油物资管理事务</t>
  </si>
  <si>
    <t xml:space="preserve">    粮油事务</t>
  </si>
  <si>
    <t xml:space="preserve">预备费 </t>
  </si>
  <si>
    <t xml:space="preserve">其他支出 </t>
  </si>
  <si>
    <t xml:space="preserve">    其他支出 </t>
  </si>
  <si>
    <t>债务还本支出</t>
  </si>
  <si>
    <t xml:space="preserve">    一般债务还本支出</t>
  </si>
  <si>
    <t>债务付息支出</t>
  </si>
  <si>
    <t xml:space="preserve">    一般债务付息支出</t>
  </si>
  <si>
    <t>债务发行费用支出</t>
  </si>
  <si>
    <t xml:space="preserve">    一般债务发行费用支出</t>
  </si>
  <si>
    <r>
      <t>污水</t>
    </r>
    <r>
      <rPr>
        <sz val="12"/>
        <rFont val="Times New Roman"/>
        <family val="1"/>
      </rPr>
      <t xml:space="preserve"> </t>
    </r>
  </si>
  <si>
    <r>
      <t>附件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</si>
  <si>
    <t>神湾镇2017年基金预算支出明细表(草案)</t>
  </si>
  <si>
    <t>较上年预算数增减%</t>
  </si>
  <si>
    <t>较上年决算数增减%</t>
  </si>
  <si>
    <t>教育</t>
  </si>
  <si>
    <t xml:space="preserve">    地方教育附加安排的支出</t>
  </si>
  <si>
    <t>文化体育与传媒</t>
  </si>
  <si>
    <t xml:space="preserve">    文化事业建设费安排的支出</t>
  </si>
  <si>
    <t xml:space="preserve">社会保障和就业支出 </t>
  </si>
  <si>
    <t xml:space="preserve">    大中型水库移民后期扶持基金支出</t>
  </si>
  <si>
    <t>社会保险基金支出</t>
  </si>
  <si>
    <t xml:space="preserve">    工伤保险基金支出</t>
  </si>
  <si>
    <t xml:space="preserve">城乡社区支出 </t>
  </si>
  <si>
    <t xml:space="preserve">    政府住房基金支出</t>
  </si>
  <si>
    <t xml:space="preserve">    国有土地使用权出让金支出</t>
  </si>
  <si>
    <t xml:space="preserve">    城市公用事业附加支出</t>
  </si>
  <si>
    <t xml:space="preserve">    国有土地收益基金支出</t>
  </si>
  <si>
    <t xml:space="preserve">    农业土地开发资金支出</t>
  </si>
  <si>
    <t xml:space="preserve">    新增建设用地有偿使用费支出</t>
  </si>
  <si>
    <t xml:space="preserve">    城市基础设施配套费安排的支出</t>
  </si>
  <si>
    <t xml:space="preserve">    污水处理费安排的支出</t>
  </si>
  <si>
    <t>农林水事务</t>
  </si>
  <si>
    <t xml:space="preserve">    森林植被恢复费支出</t>
  </si>
  <si>
    <t>商业服务业等事务</t>
  </si>
  <si>
    <t xml:space="preserve">    旅游发展基金支出</t>
  </si>
  <si>
    <t>资源勘探信息等支出</t>
  </si>
  <si>
    <t xml:space="preserve">    新型墙体材料基金收入安排的支出</t>
  </si>
  <si>
    <t>其他支出</t>
  </si>
  <si>
    <t xml:space="preserve">    彩票公益金安排的支出</t>
  </si>
  <si>
    <t xml:space="preserve">    专项债务还本支出</t>
  </si>
  <si>
    <t xml:space="preserve">    专项债务付息支出</t>
  </si>
  <si>
    <t xml:space="preserve">    专项债务发行费用支出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</si>
</sst>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  <numFmt numFmtId="178" formatCode="0.00_ ;[Red]\-0.00\ "/>
    <numFmt numFmtId="179" formatCode="#,##0_ "/>
    <numFmt numFmtId="180" formatCode="#,##0_);[Red]\(#,##0\)"/>
    <numFmt numFmtId="181" formatCode="0_);[Red]\(0\)"/>
  </numFmts>
  <fonts count="31">
    <font>
      <sz val="12"/>
      <name val="宋体"/>
      <family val="0"/>
    </font>
    <font>
      <sz val="14"/>
      <name val="Times New Roman"/>
      <family val="1"/>
    </font>
    <font>
      <sz val="12"/>
      <name val="黑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创艺简标宋"/>
      <family val="0"/>
    </font>
    <font>
      <b/>
      <sz val="18"/>
      <name val="Times New Roman"/>
      <family val="1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2"/>
      <name val="创艺简标宋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仿宋_GB2312"/>
      <family val="3"/>
    </font>
    <font>
      <sz val="28"/>
      <name val="创艺简标宋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name val="仿宋_GB2312"/>
      <family val="3"/>
    </font>
    <font>
      <sz val="15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14"/>
      <name val="宋体"/>
      <family val="0"/>
    </font>
    <font>
      <sz val="16"/>
      <name val="宋体"/>
      <family val="0"/>
    </font>
    <font>
      <u val="single"/>
      <sz val="8.4"/>
      <color indexed="36"/>
      <name val="宋体"/>
      <family val="0"/>
    </font>
    <font>
      <u val="single"/>
      <sz val="8.4"/>
      <color indexed="12"/>
      <name val="宋体"/>
      <family val="0"/>
    </font>
    <font>
      <sz val="16"/>
      <name val="黑体"/>
      <family val="0"/>
    </font>
    <font>
      <sz val="15"/>
      <name val="黑体"/>
      <family val="0"/>
    </font>
    <font>
      <sz val="15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20" applyFont="1">
      <alignment vertical="center"/>
      <protection/>
    </xf>
    <xf numFmtId="0" fontId="2" fillId="0" borderId="0" xfId="20" applyFont="1">
      <alignment vertical="center"/>
      <protection/>
    </xf>
    <xf numFmtId="0" fontId="3" fillId="0" borderId="0" xfId="20" applyFont="1">
      <alignment vertical="center"/>
      <protection/>
    </xf>
    <xf numFmtId="0" fontId="4" fillId="0" borderId="0" xfId="20" applyFo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10" fontId="5" fillId="0" borderId="0" xfId="20" applyNumberFormat="1" applyFont="1" applyAlignment="1">
      <alignment horizontal="center" vertical="center"/>
      <protection/>
    </xf>
    <xf numFmtId="0" fontId="0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10" fontId="7" fillId="0" borderId="0" xfId="20" applyNumberFormat="1" applyFont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10" fontId="1" fillId="0" borderId="0" xfId="20" applyNumberFormat="1" applyFont="1" applyAlignment="1">
      <alignment horizontal="center"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10" fontId="2" fillId="0" borderId="1" xfId="20" applyNumberFormat="1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left" vertical="center"/>
      <protection/>
    </xf>
    <xf numFmtId="43" fontId="3" fillId="0" borderId="3" xfId="20" applyNumberFormat="1" applyFont="1" applyBorder="1" applyAlignment="1">
      <alignment horizontal="right" vertical="center"/>
      <protection/>
    </xf>
    <xf numFmtId="0" fontId="10" fillId="0" borderId="2" xfId="20" applyFont="1" applyBorder="1" applyAlignment="1">
      <alignment horizontal="left" vertical="center"/>
      <protection/>
    </xf>
    <xf numFmtId="4" fontId="9" fillId="0" borderId="2" xfId="20" applyNumberFormat="1" applyFont="1" applyBorder="1" applyAlignment="1">
      <alignment vertical="center"/>
      <protection/>
    </xf>
    <xf numFmtId="176" fontId="3" fillId="0" borderId="3" xfId="20" applyNumberFormat="1" applyFont="1" applyBorder="1" applyAlignment="1">
      <alignment horizontal="right" vertical="center"/>
      <protection/>
    </xf>
    <xf numFmtId="10" fontId="3" fillId="0" borderId="3" xfId="20" applyNumberFormat="1" applyFont="1" applyBorder="1" applyAlignment="1">
      <alignment horizontal="right" vertical="center"/>
      <protection/>
    </xf>
    <xf numFmtId="4" fontId="10" fillId="0" borderId="2" xfId="20" applyNumberFormat="1" applyFont="1" applyBorder="1" applyAlignment="1">
      <alignment vertical="center"/>
      <protection/>
    </xf>
    <xf numFmtId="43" fontId="4" fillId="0" borderId="3" xfId="20" applyNumberFormat="1" applyFont="1" applyBorder="1" applyAlignment="1">
      <alignment horizontal="right" vertical="center"/>
      <protection/>
    </xf>
    <xf numFmtId="10" fontId="4" fillId="0" borderId="3" xfId="20" applyNumberFormat="1" applyFont="1" applyBorder="1" applyAlignment="1">
      <alignment horizontal="right" vertical="center"/>
      <protection/>
    </xf>
    <xf numFmtId="176" fontId="4" fillId="0" borderId="3" xfId="20" applyNumberFormat="1" applyFont="1" applyBorder="1" applyAlignment="1">
      <alignment horizontal="right" vertical="center"/>
      <protection/>
    </xf>
    <xf numFmtId="4" fontId="9" fillId="0" borderId="2" xfId="20" applyNumberFormat="1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11" fillId="0" borderId="0" xfId="20" applyFont="1" applyAlignment="1">
      <alignment horizontal="right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4" fontId="0" fillId="0" borderId="1" xfId="20" applyNumberFormat="1" applyFont="1" applyFill="1" applyBorder="1" applyAlignment="1" applyProtection="1">
      <alignment vertical="center"/>
      <protection/>
    </xf>
    <xf numFmtId="4" fontId="0" fillId="0" borderId="0" xfId="20" applyNumberFormat="1" applyFont="1" applyFill="1" applyBorder="1" applyAlignment="1" applyProtection="1">
      <alignment vertical="center"/>
      <protection/>
    </xf>
    <xf numFmtId="0" fontId="1" fillId="0" borderId="0" xfId="20" applyFont="1" applyFill="1">
      <alignment vertical="center"/>
      <protection/>
    </xf>
    <xf numFmtId="0" fontId="2" fillId="0" borderId="0" xfId="20" applyFont="1" applyFill="1">
      <alignment vertical="center"/>
      <protection/>
    </xf>
    <xf numFmtId="0" fontId="3" fillId="0" borderId="0" xfId="20" applyFont="1" applyFill="1">
      <alignment vertical="center"/>
      <protection/>
    </xf>
    <xf numFmtId="0" fontId="4" fillId="0" borderId="0" xfId="20" applyFont="1" applyFill="1">
      <alignment vertical="center"/>
      <protection/>
    </xf>
    <xf numFmtId="0" fontId="5" fillId="0" borderId="0" xfId="20" applyFont="1" applyFill="1">
      <alignment vertical="center"/>
      <protection/>
    </xf>
    <xf numFmtId="10" fontId="5" fillId="0" borderId="0" xfId="20" applyNumberFormat="1" applyFont="1" applyFill="1">
      <alignment vertical="center"/>
      <protection/>
    </xf>
    <xf numFmtId="0" fontId="8" fillId="0" borderId="0" xfId="20" applyFont="1" applyFill="1">
      <alignment vertical="center"/>
      <protection/>
    </xf>
    <xf numFmtId="0" fontId="6" fillId="0" borderId="0" xfId="20" applyFont="1" applyFill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0" xfId="20" applyFont="1" applyFill="1">
      <alignment vertical="center"/>
      <protection/>
    </xf>
    <xf numFmtId="10" fontId="7" fillId="0" borderId="0" xfId="20" applyNumberFormat="1" applyFont="1" applyFill="1">
      <alignment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10" fontId="1" fillId="0" borderId="0" xfId="20" applyNumberFormat="1" applyFont="1" applyFill="1">
      <alignment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10" fontId="2" fillId="0" borderId="1" xfId="20" applyNumberFormat="1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left" vertical="center"/>
      <protection/>
    </xf>
    <xf numFmtId="43" fontId="3" fillId="0" borderId="6" xfId="20" applyNumberFormat="1" applyFont="1" applyFill="1" applyBorder="1">
      <alignment vertical="center"/>
      <protection/>
    </xf>
    <xf numFmtId="10" fontId="3" fillId="0" borderId="6" xfId="20" applyNumberFormat="1" applyFont="1" applyFill="1" applyBorder="1">
      <alignment vertical="center"/>
      <protection/>
    </xf>
    <xf numFmtId="0" fontId="10" fillId="0" borderId="5" xfId="20" applyFont="1" applyFill="1" applyBorder="1" applyAlignment="1">
      <alignment horizontal="left" vertical="center"/>
      <protection/>
    </xf>
    <xf numFmtId="43" fontId="4" fillId="0" borderId="6" xfId="20" applyNumberFormat="1" applyFont="1" applyFill="1" applyBorder="1">
      <alignment vertical="center"/>
      <protection/>
    </xf>
    <xf numFmtId="10" fontId="4" fillId="0" borderId="6" xfId="20" applyNumberFormat="1" applyFont="1" applyFill="1" applyBorder="1">
      <alignment vertical="center"/>
      <protection/>
    </xf>
    <xf numFmtId="0" fontId="11" fillId="0" borderId="0" xfId="20" applyFont="1" applyFill="1" applyAlignment="1">
      <alignment horizontal="right" vertical="center"/>
      <protection/>
    </xf>
    <xf numFmtId="0" fontId="3" fillId="0" borderId="6" xfId="20" applyFont="1" applyFill="1" applyBorder="1">
      <alignment vertical="center"/>
      <protection/>
    </xf>
    <xf numFmtId="0" fontId="4" fillId="0" borderId="6" xfId="20" applyFont="1" applyFill="1" applyBorder="1">
      <alignment vertical="center"/>
      <protection/>
    </xf>
    <xf numFmtId="4" fontId="12" fillId="0" borderId="1" xfId="20" applyNumberFormat="1" applyFont="1" applyFill="1" applyBorder="1" applyAlignment="1" applyProtection="1">
      <alignment horizontal="right" vertical="center"/>
      <protection/>
    </xf>
    <xf numFmtId="176" fontId="3" fillId="0" borderId="6" xfId="20" applyNumberFormat="1" applyFont="1" applyFill="1" applyBorder="1">
      <alignment vertical="center"/>
      <protection/>
    </xf>
    <xf numFmtId="176" fontId="4" fillId="0" borderId="6" xfId="20" applyNumberFormat="1" applyFont="1" applyFill="1" applyBorder="1">
      <alignment vertical="center"/>
      <protection/>
    </xf>
    <xf numFmtId="4" fontId="12" fillId="0" borderId="0" xfId="20" applyNumberFormat="1" applyFont="1" applyFill="1" applyBorder="1" applyAlignment="1" applyProtection="1">
      <alignment horizontal="right" vertical="center"/>
      <protection/>
    </xf>
    <xf numFmtId="4" fontId="9" fillId="0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9" fontId="5" fillId="0" borderId="0" xfId="20" applyNumberFormat="1" applyFont="1" applyFill="1">
      <alignment vertical="center"/>
      <protection/>
    </xf>
    <xf numFmtId="9" fontId="1" fillId="0" borderId="0" xfId="20" applyNumberFormat="1" applyFont="1" applyFill="1">
      <alignment vertical="center"/>
      <protection/>
    </xf>
    <xf numFmtId="176" fontId="5" fillId="0" borderId="0" xfId="20" applyNumberFormat="1" applyFont="1" applyFill="1">
      <alignment vertical="center"/>
      <protection/>
    </xf>
    <xf numFmtId="0" fontId="0" fillId="0" borderId="0" xfId="20" applyFill="1">
      <alignment vertical="center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77" fontId="5" fillId="0" borderId="0" xfId="15" applyNumberFormat="1" applyFont="1" applyFill="1" applyAlignment="1">
      <alignment/>
    </xf>
    <xf numFmtId="43" fontId="5" fillId="0" borderId="0" xfId="15" applyFont="1" applyFill="1" applyAlignment="1">
      <alignment/>
    </xf>
    <xf numFmtId="9" fontId="5" fillId="0" borderId="0" xfId="0" applyNumberFormat="1" applyFont="1" applyFill="1" applyAlignment="1">
      <alignment/>
    </xf>
    <xf numFmtId="10" fontId="5" fillId="0" borderId="0" xfId="19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horizontal="right" vertical="center"/>
    </xf>
    <xf numFmtId="9" fontId="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left"/>
    </xf>
    <xf numFmtId="177" fontId="14" fillId="0" borderId="0" xfId="15" applyNumberFormat="1" applyFont="1" applyFill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7" fontId="14" fillId="0" borderId="1" xfId="15" applyNumberFormat="1" applyFont="1" applyFill="1" applyBorder="1" applyAlignment="1">
      <alignment horizontal="center" vertical="center" wrapText="1"/>
    </xf>
    <xf numFmtId="178" fontId="18" fillId="0" borderId="1" xfId="22" applyNumberFormat="1" applyFont="1" applyFill="1" applyBorder="1" applyAlignment="1">
      <alignment horizontal="left" vertical="center"/>
      <protection/>
    </xf>
    <xf numFmtId="179" fontId="15" fillId="0" borderId="1" xfId="0" applyNumberFormat="1" applyFont="1" applyFill="1" applyBorder="1" applyAlignment="1">
      <alignment horizontal="center" vertical="center"/>
    </xf>
    <xf numFmtId="43" fontId="15" fillId="0" borderId="1" xfId="15" applyFont="1" applyFill="1" applyBorder="1" applyAlignment="1">
      <alignment horizontal="right" vertical="center"/>
    </xf>
    <xf numFmtId="178" fontId="19" fillId="0" borderId="1" xfId="22" applyNumberFormat="1" applyFont="1" applyFill="1" applyBorder="1" applyAlignment="1">
      <alignment horizontal="left" vertical="center" wrapText="1"/>
      <protection/>
    </xf>
    <xf numFmtId="179" fontId="14" fillId="0" borderId="1" xfId="0" applyNumberFormat="1" applyFont="1" applyFill="1" applyBorder="1" applyAlignment="1">
      <alignment horizontal="center" vertical="center"/>
    </xf>
    <xf numFmtId="180" fontId="14" fillId="0" borderId="1" xfId="0" applyNumberFormat="1" applyFont="1" applyFill="1" applyBorder="1" applyAlignment="1">
      <alignment horizontal="center" vertical="center"/>
    </xf>
    <xf numFmtId="43" fontId="14" fillId="0" borderId="1" xfId="15" applyFont="1" applyFill="1" applyBorder="1" applyAlignment="1">
      <alignment horizontal="right" vertical="center"/>
    </xf>
    <xf numFmtId="0" fontId="16" fillId="0" borderId="1" xfId="17" applyFont="1" applyFill="1" applyBorder="1" applyAlignment="1">
      <alignment horizontal="left" vertical="center" wrapText="1"/>
      <protection/>
    </xf>
    <xf numFmtId="43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43" fontId="14" fillId="0" borderId="1" xfId="15" applyFont="1" applyFill="1" applyBorder="1" applyAlignment="1">
      <alignment horizontal="right"/>
    </xf>
    <xf numFmtId="43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/>
    </xf>
    <xf numFmtId="1" fontId="20" fillId="0" borderId="1" xfId="17" applyNumberFormat="1" applyFont="1" applyFill="1" applyBorder="1" applyAlignment="1" applyProtection="1">
      <alignment horizontal="left" vertical="center" wrapText="1"/>
      <protection locked="0"/>
    </xf>
    <xf numFmtId="1" fontId="16" fillId="0" borderId="1" xfId="17" applyNumberFormat="1" applyFont="1" applyFill="1" applyBorder="1" applyAlignment="1" applyProtection="1">
      <alignment vertical="center" wrapText="1"/>
      <protection locked="0"/>
    </xf>
    <xf numFmtId="178" fontId="18" fillId="0" borderId="1" xfId="22" applyNumberFormat="1" applyFont="1" applyFill="1" applyBorder="1" applyAlignment="1">
      <alignment horizontal="left" vertical="center" wrapText="1"/>
      <protection/>
    </xf>
    <xf numFmtId="180" fontId="15" fillId="0" borderId="1" xfId="17" applyNumberFormat="1" applyFont="1" applyFill="1" applyBorder="1" applyAlignment="1">
      <alignment horizontal="center" vertical="center"/>
      <protection/>
    </xf>
    <xf numFmtId="0" fontId="15" fillId="0" borderId="1" xfId="0" applyFont="1" applyFill="1" applyBorder="1" applyAlignment="1">
      <alignment/>
    </xf>
    <xf numFmtId="43" fontId="15" fillId="0" borderId="1" xfId="15" applyFont="1" applyFill="1" applyBorder="1" applyAlignment="1">
      <alignment horizontal="right"/>
    </xf>
    <xf numFmtId="0" fontId="20" fillId="0" borderId="1" xfId="17" applyFont="1" applyFill="1" applyBorder="1" applyAlignment="1">
      <alignment horizontal="center" vertical="center" wrapText="1"/>
      <protection/>
    </xf>
    <xf numFmtId="179" fontId="15" fillId="0" borderId="1" xfId="0" applyNumberFormat="1" applyFont="1" applyFill="1" applyBorder="1" applyAlignment="1">
      <alignment vertical="center"/>
    </xf>
    <xf numFmtId="1" fontId="16" fillId="0" borderId="1" xfId="17" applyNumberFormat="1" applyFont="1" applyFill="1" applyBorder="1" applyAlignment="1" applyProtection="1">
      <alignment horizontal="left" vertical="center" wrapText="1"/>
      <protection locked="0"/>
    </xf>
    <xf numFmtId="1" fontId="20" fillId="0" borderId="2" xfId="17" applyNumberFormat="1" applyFont="1" applyFill="1" applyBorder="1" applyAlignment="1" applyProtection="1">
      <alignment horizontal="center" vertical="center"/>
      <protection locked="0"/>
    </xf>
    <xf numFmtId="179" fontId="15" fillId="0" borderId="2" xfId="0" applyNumberFormat="1" applyFont="1" applyFill="1" applyBorder="1" applyAlignment="1">
      <alignment horizontal="center" vertical="center"/>
    </xf>
    <xf numFmtId="43" fontId="15" fillId="0" borderId="2" xfId="15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77" fontId="1" fillId="0" borderId="0" xfId="15" applyNumberFormat="1" applyFont="1" applyFill="1" applyAlignment="1">
      <alignment/>
    </xf>
    <xf numFmtId="43" fontId="14" fillId="0" borderId="0" xfId="15" applyFont="1" applyFill="1" applyAlignment="1">
      <alignment/>
    </xf>
    <xf numFmtId="9" fontId="5" fillId="0" borderId="1" xfId="0" applyNumberFormat="1" applyFont="1" applyFill="1" applyBorder="1" applyAlignment="1">
      <alignment horizontal="center" vertical="center" wrapText="1"/>
    </xf>
    <xf numFmtId="43" fontId="14" fillId="0" borderId="1" xfId="15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43" fontId="22" fillId="0" borderId="0" xfId="15" applyNumberFormat="1" applyFont="1" applyFill="1" applyAlignment="1">
      <alignment/>
    </xf>
    <xf numFmtId="43" fontId="1" fillId="0" borderId="0" xfId="15" applyFont="1" applyFill="1" applyAlignment="1">
      <alignment/>
    </xf>
    <xf numFmtId="43" fontId="23" fillId="0" borderId="0" xfId="15" applyNumberFormat="1" applyFont="1" applyFill="1" applyAlignment="1">
      <alignment/>
    </xf>
    <xf numFmtId="177" fontId="24" fillId="0" borderId="0" xfId="15" applyNumberFormat="1" applyFont="1" applyFill="1" applyAlignment="1">
      <alignment/>
    </xf>
    <xf numFmtId="9" fontId="14" fillId="0" borderId="0" xfId="0" applyNumberFormat="1" applyFont="1" applyFill="1" applyAlignment="1">
      <alignment/>
    </xf>
    <xf numFmtId="49" fontId="14" fillId="0" borderId="7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/>
    </xf>
    <xf numFmtId="9" fontId="15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9" fontId="15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0" fontId="15" fillId="0" borderId="1" xfId="19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/>
    </xf>
    <xf numFmtId="10" fontId="14" fillId="0" borderId="1" xfId="19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1" fontId="16" fillId="0" borderId="2" xfId="17" applyNumberFormat="1" applyFont="1" applyFill="1" applyBorder="1" applyAlignment="1" applyProtection="1">
      <alignment vertical="center"/>
      <protection locked="0"/>
    </xf>
    <xf numFmtId="1" fontId="16" fillId="0" borderId="1" xfId="17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180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0" fillId="0" borderId="1" xfId="17" applyNumberFormat="1" applyFont="1" applyFill="1" applyBorder="1" applyAlignment="1" applyProtection="1">
      <alignment horizontal="center" vertical="center"/>
      <protection locked="0"/>
    </xf>
    <xf numFmtId="10" fontId="15" fillId="0" borderId="0" xfId="19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3" fontId="15" fillId="0" borderId="0" xfId="0" applyNumberFormat="1" applyFont="1" applyFill="1" applyBorder="1" applyAlignment="1">
      <alignment horizontal="center" vertical="center"/>
    </xf>
    <xf numFmtId="10" fontId="1" fillId="0" borderId="0" xfId="19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43" fontId="14" fillId="0" borderId="0" xfId="0" applyNumberFormat="1" applyFont="1" applyFill="1" applyAlignment="1">
      <alignment horizontal="right" vertical="center"/>
    </xf>
    <xf numFmtId="43" fontId="14" fillId="0" borderId="0" xfId="15" applyFont="1" applyFill="1" applyAlignment="1">
      <alignment horizontal="right" vertical="center"/>
    </xf>
    <xf numFmtId="43" fontId="15" fillId="0" borderId="2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43" fontId="1" fillId="0" borderId="0" xfId="15" applyFont="1" applyFill="1" applyAlignment="1">
      <alignment horizontal="center" vertical="center"/>
    </xf>
    <xf numFmtId="43" fontId="5" fillId="0" borderId="0" xfId="15" applyFont="1" applyFill="1" applyAlignment="1">
      <alignment horizontal="center" vertical="center"/>
    </xf>
    <xf numFmtId="9" fontId="16" fillId="0" borderId="0" xfId="0" applyNumberFormat="1" applyFont="1" applyFill="1" applyAlignment="1">
      <alignment horizontal="right"/>
    </xf>
    <xf numFmtId="9" fontId="14" fillId="0" borderId="0" xfId="0" applyNumberFormat="1" applyFont="1" applyFill="1" applyAlignment="1">
      <alignment horizontal="right" vertical="center"/>
    </xf>
    <xf numFmtId="10" fontId="1" fillId="0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10" fontId="25" fillId="0" borderId="0" xfId="0" applyNumberFormat="1" applyFont="1" applyFill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10" fontId="1" fillId="0" borderId="1" xfId="19" applyNumberFormat="1" applyFont="1" applyFill="1" applyBorder="1" applyAlignment="1">
      <alignment horizontal="center" vertical="center"/>
    </xf>
    <xf numFmtId="10" fontId="1" fillId="0" borderId="0" xfId="19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5" fillId="0" borderId="0" xfId="19" applyNumberFormat="1" applyFont="1" applyFill="1" applyAlignment="1">
      <alignment horizontal="center" vertical="center"/>
    </xf>
  </cellXfs>
  <cellStyles count="11">
    <cellStyle name="Normal" xfId="0"/>
    <cellStyle name="Comma" xfId="15"/>
    <cellStyle name="Currency" xfId="16"/>
    <cellStyle name="常规_08年镇区预算收支报表" xfId="17"/>
    <cellStyle name="Comma [0]" xfId="18"/>
    <cellStyle name="Percent" xfId="19"/>
    <cellStyle name="常规_2016预算报告附件2&amp;3" xfId="20"/>
    <cellStyle name="Currency [0]" xfId="21"/>
    <cellStyle name="常规_2008年预算收支草案" xfId="22"/>
    <cellStyle name="Followed Hyperlink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B313"/>
  <sheetViews>
    <sheetView tabSelected="1" zoomScale="55" zoomScaleNormal="55" workbookViewId="0" topLeftCell="A1">
      <pane ySplit="4" topLeftCell="A19" activePane="bottomLeft" state="frozen"/>
      <selection pane="bottomLeft" activeCell="X24" sqref="X24"/>
    </sheetView>
  </sheetViews>
  <sheetFormatPr defaultColWidth="9.00390625" defaultRowHeight="14.25"/>
  <cols>
    <col min="1" max="1" width="50.625" style="74" customWidth="1"/>
    <col min="2" max="2" width="0.875" style="75" hidden="1" customWidth="1"/>
    <col min="3" max="3" width="10.625" style="75" hidden="1" customWidth="1"/>
    <col min="4" max="5" width="16.625" style="75" hidden="1" customWidth="1"/>
    <col min="6" max="6" width="16.375" style="75" hidden="1" customWidth="1"/>
    <col min="7" max="7" width="16.625" style="75" hidden="1" customWidth="1"/>
    <col min="8" max="11" width="16.625" style="76" hidden="1" customWidth="1"/>
    <col min="12" max="12" width="16.625" style="75" hidden="1" customWidth="1"/>
    <col min="13" max="13" width="16.625" style="77" hidden="1" customWidth="1"/>
    <col min="14" max="14" width="17.625" style="77" customWidth="1"/>
    <col min="15" max="16" width="16.625" style="75" hidden="1" customWidth="1"/>
    <col min="17" max="19" width="16.625" style="78" hidden="1" customWidth="1"/>
    <col min="20" max="20" width="16.625" style="75" hidden="1" customWidth="1"/>
    <col min="21" max="21" width="15.50390625" style="78" hidden="1" customWidth="1"/>
    <col min="22" max="22" width="16.625" style="78" hidden="1" customWidth="1"/>
    <col min="23" max="24" width="17.625" style="78" customWidth="1"/>
    <col min="25" max="25" width="16.625" style="78" hidden="1" customWidth="1"/>
    <col min="26" max="26" width="17.625" style="79" customWidth="1"/>
    <col min="27" max="27" width="17.625" style="80" customWidth="1"/>
    <col min="28" max="28" width="50.625" style="74" customWidth="1"/>
    <col min="29" max="29" width="0.12890625" style="75" hidden="1" customWidth="1"/>
    <col min="30" max="30" width="12.125" style="75" hidden="1" customWidth="1"/>
    <col min="31" max="39" width="16.625" style="81" hidden="1" customWidth="1"/>
    <col min="40" max="40" width="16.625" style="82" hidden="1" customWidth="1"/>
    <col min="41" max="41" width="17.625" style="82" customWidth="1"/>
    <col min="42" max="43" width="16.625" style="81" hidden="1" customWidth="1"/>
    <col min="44" max="46" width="16.625" style="83" hidden="1" customWidth="1"/>
    <col min="47" max="47" width="16.625" style="81" hidden="1" customWidth="1"/>
    <col min="48" max="48" width="16.625" style="83" hidden="1" customWidth="1"/>
    <col min="49" max="49" width="16.625" style="78" hidden="1" customWidth="1"/>
    <col min="50" max="51" width="17.625" style="78" customWidth="1"/>
    <col min="52" max="52" width="16.625" style="78" hidden="1" customWidth="1"/>
    <col min="53" max="53" width="17.625" style="80" customWidth="1"/>
    <col min="54" max="54" width="17.625" style="79" customWidth="1"/>
    <col min="55" max="16384" width="9.00390625" style="75" customWidth="1"/>
  </cols>
  <sheetData>
    <row r="1" ht="20.25">
      <c r="A1" s="84" t="s">
        <v>0</v>
      </c>
    </row>
    <row r="2" spans="1:54" s="70" customFormat="1" ht="36.7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</row>
    <row r="3" spans="1:54" s="71" customFormat="1" ht="28.5" customHeight="1">
      <c r="A3" s="86" t="s">
        <v>2</v>
      </c>
      <c r="H3" s="87"/>
      <c r="I3" s="87"/>
      <c r="J3" s="87"/>
      <c r="K3" s="87"/>
      <c r="M3" s="120"/>
      <c r="N3" s="120"/>
      <c r="Q3" s="130"/>
      <c r="R3" s="130"/>
      <c r="S3" s="130"/>
      <c r="U3" s="130"/>
      <c r="V3" s="131"/>
      <c r="W3" s="131"/>
      <c r="X3" s="131"/>
      <c r="Y3" s="131"/>
      <c r="Z3" s="131"/>
      <c r="AA3" s="131"/>
      <c r="AB3" s="131"/>
      <c r="AE3" s="141"/>
      <c r="AF3" s="141"/>
      <c r="AG3" s="141"/>
      <c r="AH3" s="141"/>
      <c r="AI3" s="141"/>
      <c r="AJ3" s="141"/>
      <c r="AK3" s="141"/>
      <c r="AL3" s="166"/>
      <c r="AM3" s="141"/>
      <c r="AN3" s="167"/>
      <c r="AO3" s="167"/>
      <c r="AP3" s="141"/>
      <c r="AQ3" s="173" t="s">
        <v>3</v>
      </c>
      <c r="AR3" s="174"/>
      <c r="AS3" s="174"/>
      <c r="AT3" s="173" t="s">
        <v>3</v>
      </c>
      <c r="AV3" s="174"/>
      <c r="BA3" s="179"/>
      <c r="BB3" s="179" t="s">
        <v>4</v>
      </c>
    </row>
    <row r="4" spans="1:54" s="71" customFormat="1" ht="60" customHeight="1">
      <c r="A4" s="88" t="s">
        <v>5</v>
      </c>
      <c r="B4" s="89" t="s">
        <v>6</v>
      </c>
      <c r="C4" s="89" t="s">
        <v>7</v>
      </c>
      <c r="D4" s="90" t="s">
        <v>8</v>
      </c>
      <c r="E4" s="90" t="s">
        <v>9</v>
      </c>
      <c r="F4" s="90" t="s">
        <v>10</v>
      </c>
      <c r="G4" s="90" t="s">
        <v>11</v>
      </c>
      <c r="H4" s="91" t="s">
        <v>12</v>
      </c>
      <c r="I4" s="91" t="s">
        <v>13</v>
      </c>
      <c r="J4" s="91" t="s">
        <v>14</v>
      </c>
      <c r="K4" s="91" t="s">
        <v>15</v>
      </c>
      <c r="L4" s="121" t="s">
        <v>16</v>
      </c>
      <c r="M4" s="122" t="s">
        <v>17</v>
      </c>
      <c r="N4" s="122" t="s">
        <v>18</v>
      </c>
      <c r="O4" s="123" t="s">
        <v>19</v>
      </c>
      <c r="P4" s="121" t="s">
        <v>20</v>
      </c>
      <c r="Q4" s="121" t="s">
        <v>21</v>
      </c>
      <c r="R4" s="123" t="s">
        <v>22</v>
      </c>
      <c r="S4" s="121" t="s">
        <v>23</v>
      </c>
      <c r="T4" s="132" t="s">
        <v>24</v>
      </c>
      <c r="U4" s="123" t="s">
        <v>25</v>
      </c>
      <c r="V4" s="123" t="s">
        <v>26</v>
      </c>
      <c r="W4" s="122" t="s">
        <v>27</v>
      </c>
      <c r="X4" s="122" t="s">
        <v>28</v>
      </c>
      <c r="Y4" s="122"/>
      <c r="Z4" s="122" t="s">
        <v>29</v>
      </c>
      <c r="AA4" s="122" t="s">
        <v>30</v>
      </c>
      <c r="AB4" s="88" t="s">
        <v>31</v>
      </c>
      <c r="AC4" s="89" t="s">
        <v>6</v>
      </c>
      <c r="AD4" s="89" t="s">
        <v>7</v>
      </c>
      <c r="AE4" s="89" t="s">
        <v>8</v>
      </c>
      <c r="AF4" s="90" t="s">
        <v>9</v>
      </c>
      <c r="AG4" s="90" t="s">
        <v>10</v>
      </c>
      <c r="AH4" s="90" t="s">
        <v>32</v>
      </c>
      <c r="AI4" s="90" t="s">
        <v>12</v>
      </c>
      <c r="AJ4" s="90" t="s">
        <v>13</v>
      </c>
      <c r="AK4" s="90" t="s">
        <v>14</v>
      </c>
      <c r="AL4" s="90" t="s">
        <v>15</v>
      </c>
      <c r="AM4" s="121" t="s">
        <v>16</v>
      </c>
      <c r="AN4" s="122" t="s">
        <v>17</v>
      </c>
      <c r="AO4" s="122" t="s">
        <v>18</v>
      </c>
      <c r="AP4" s="123" t="s">
        <v>19</v>
      </c>
      <c r="AQ4" s="121" t="s">
        <v>20</v>
      </c>
      <c r="AR4" s="121" t="s">
        <v>21</v>
      </c>
      <c r="AS4" s="123" t="s">
        <v>22</v>
      </c>
      <c r="AT4" s="121" t="s">
        <v>23</v>
      </c>
      <c r="AU4" s="132" t="s">
        <v>24</v>
      </c>
      <c r="AV4" s="123" t="s">
        <v>25</v>
      </c>
      <c r="AW4" s="123" t="s">
        <v>26</v>
      </c>
      <c r="AX4" s="122" t="s">
        <v>27</v>
      </c>
      <c r="AY4" s="122" t="s">
        <v>28</v>
      </c>
      <c r="AZ4" s="122"/>
      <c r="BA4" s="122" t="s">
        <v>29</v>
      </c>
      <c r="BB4" s="122" t="s">
        <v>30</v>
      </c>
    </row>
    <row r="5" spans="1:54" s="72" customFormat="1" ht="33.75" customHeight="1">
      <c r="A5" s="92" t="s">
        <v>33</v>
      </c>
      <c r="B5" s="93" t="e">
        <f>B6+B8+B36</f>
        <v>#REF!</v>
      </c>
      <c r="C5" s="93" t="e">
        <f>C6+C8+C36</f>
        <v>#REF!</v>
      </c>
      <c r="D5" s="93">
        <f aca="true" t="shared" si="0" ref="D5:J5">D6+D8</f>
        <v>13931</v>
      </c>
      <c r="E5" s="93">
        <f t="shared" si="0"/>
        <v>18879</v>
      </c>
      <c r="F5" s="93">
        <f t="shared" si="0"/>
        <v>17765</v>
      </c>
      <c r="G5" s="93">
        <f t="shared" si="0"/>
        <v>13010</v>
      </c>
      <c r="H5" s="94">
        <f t="shared" si="0"/>
        <v>16282</v>
      </c>
      <c r="I5" s="94">
        <f t="shared" si="0"/>
        <v>17584.05</v>
      </c>
      <c r="J5" s="94">
        <f t="shared" si="0"/>
        <v>15391.57</v>
      </c>
      <c r="K5" s="94">
        <f>K6+K8-0.01</f>
        <v>17084.510000000002</v>
      </c>
      <c r="L5" s="124">
        <f aca="true" t="shared" si="1" ref="L5:L10">J5/H5-1</f>
        <v>-0.0546879990173198</v>
      </c>
      <c r="M5" s="94">
        <f>M6+M8</f>
        <v>14480.83</v>
      </c>
      <c r="N5" s="94">
        <f>N6+N8</f>
        <v>14674.21</v>
      </c>
      <c r="O5" s="124">
        <f aca="true" t="shared" si="2" ref="O5:O10">J5/I5</f>
        <v>0.8753142762901607</v>
      </c>
      <c r="P5" s="124">
        <f aca="true" t="shared" si="3" ref="P5:P10">K5/J5-1</f>
        <v>0.10999137839739559</v>
      </c>
      <c r="Q5" s="133">
        <f aca="true" t="shared" si="4" ref="Q5:Q10">(H5-F5)/F5</f>
        <v>-0.08347875035181537</v>
      </c>
      <c r="R5" s="133">
        <f aca="true" t="shared" si="5" ref="R5:R10">H5/G5</f>
        <v>1.251498847040738</v>
      </c>
      <c r="S5" s="133">
        <f aca="true" t="shared" si="6" ref="S5:S10">(I5-H5)/H5</f>
        <v>0.07996867706669938</v>
      </c>
      <c r="T5" s="133">
        <f aca="true" t="shared" si="7" ref="T5:T10">(F5-D5)/D5</f>
        <v>0.2752135525087933</v>
      </c>
      <c r="U5" s="133">
        <f aca="true" t="shared" si="8" ref="U5:U10">F5/E5</f>
        <v>0.9409926373218921</v>
      </c>
      <c r="V5" s="133">
        <f aca="true" t="shared" si="9" ref="V5:V10">(G5-F5)/F5</f>
        <v>-0.26766113143822123</v>
      </c>
      <c r="W5" s="94">
        <f>W6+W8</f>
        <v>14207.45</v>
      </c>
      <c r="X5" s="94">
        <f>X6+X8+0.01</f>
        <v>16068.640000000001</v>
      </c>
      <c r="Y5" s="94">
        <f>X5-W5</f>
        <v>1861.1900000000005</v>
      </c>
      <c r="Z5" s="142">
        <f aca="true" t="shared" si="10" ref="Z5:Z10">W5/N5</f>
        <v>0.9681918140738072</v>
      </c>
      <c r="AA5" s="143">
        <f>X5/W5-1</f>
        <v>0.1310009889177861</v>
      </c>
      <c r="AB5" s="92" t="s">
        <v>34</v>
      </c>
      <c r="AC5" s="144" t="e">
        <f>AC6+AC7+AC8+AC9+AC10+AC11+AC12+AC13+AC14+AC15+AC16+AC17+AC23+#REF!</f>
        <v>#REF!</v>
      </c>
      <c r="AD5" s="144" t="e">
        <f>AD6+AD7+AD8+AD9+AD10+AD11+AD12+AD13+AD14+AD15+AD16+AD17+AD23+#REF!</f>
        <v>#REF!</v>
      </c>
      <c r="AE5" s="144" t="e">
        <f>AE6+AE7+AE8+AE9+AE10+AE11+AE12+AE13+AE14+AE15+AE16+AE17+AE23+#REF!+#REF!+#REF!+AE18+AE19+AE20</f>
        <v>#REF!</v>
      </c>
      <c r="AF5" s="144" t="e">
        <f>AF6+AF7+AF8+AF9+AF10+AF11+AF12+AF13+AF14+AF15+AF16+AF17+AF23+#REF!+#REF!+#REF!+AF18+AF19+AF20</f>
        <v>#REF!</v>
      </c>
      <c r="AG5" s="144" t="e">
        <f>AG6+AG7+AG8+AG9+AG10+AG11+AG12+AG13+AG14+AG15+AG16+AG17+AG23+#REF!+#REF!+#REF!+AG18+AG19+AG20+AG21</f>
        <v>#REF!</v>
      </c>
      <c r="AH5" s="144" t="e">
        <f>AH6+AH7+AH8+AH9+AH10+AH11+AH12+AH13+AH14+AH15+AH16+AH17+AH23+#REF!+#REF!+#REF!+AH18+AH19+AH20+AH21+AH22</f>
        <v>#REF!</v>
      </c>
      <c r="AI5" s="94" t="e">
        <f>SUM(AI6:AI11)+AI12+AI13+AI14+AI15+AI16+AI17+AI18+AI19+AI21+AI22+#REF!+AI23+AI20+#REF!</f>
        <v>#REF!</v>
      </c>
      <c r="AJ5" s="94" t="e">
        <f>SUM(AJ6:AJ11)+AJ12+AJ13+AJ14+AJ15+AJ16+AJ17+AJ18+AJ19+AJ21+AJ22+#REF!+AJ23+AJ20+#REF!</f>
        <v>#REF!</v>
      </c>
      <c r="AK5" s="94" t="e">
        <f>SUM(AK6:AK11)+AK12+AK13+AK14+AK15+AK16+AK17+AK18+AK19+AK21+AK22+#REF!+AK23+AK20+#REF!</f>
        <v>#REF!</v>
      </c>
      <c r="AL5" s="94">
        <v>32991.12</v>
      </c>
      <c r="AM5" s="124" t="e">
        <f>AK5/AI5-1</f>
        <v>#REF!</v>
      </c>
      <c r="AN5" s="94">
        <v>27698.31</v>
      </c>
      <c r="AO5" s="94">
        <v>32264.12</v>
      </c>
      <c r="AP5" s="124" t="e">
        <f>AK5/AJ5</f>
        <v>#REF!</v>
      </c>
      <c r="AQ5" s="124" t="e">
        <f aca="true" t="shared" si="11" ref="AQ5:AQ8">AL5/AK5-1</f>
        <v>#REF!</v>
      </c>
      <c r="AR5" s="133" t="e">
        <f aca="true" t="shared" si="12" ref="AR5:AR11">(AI5-AG5)/AG5</f>
        <v>#REF!</v>
      </c>
      <c r="AS5" s="133" t="e">
        <f aca="true" t="shared" si="13" ref="AS5:AS11">AI5/AH5</f>
        <v>#REF!</v>
      </c>
      <c r="AT5" s="133" t="e">
        <f aca="true" t="shared" si="14" ref="AT5:AT11">(AJ5-AI5)/AI5</f>
        <v>#REF!</v>
      </c>
      <c r="AU5" s="133" t="e">
        <f aca="true" t="shared" si="15" ref="AU5:AU11">(AG5-AE5)/AE5</f>
        <v>#REF!</v>
      </c>
      <c r="AV5" s="133" t="e">
        <f aca="true" t="shared" si="16" ref="AV5:AV11">AG5/AF5</f>
        <v>#REF!</v>
      </c>
      <c r="AW5" s="133" t="e">
        <f aca="true" t="shared" si="17" ref="AW5:AW11">(AH5-AG5)/AG5</f>
        <v>#REF!</v>
      </c>
      <c r="AX5" s="94">
        <v>28452.81</v>
      </c>
      <c r="AY5" s="100">
        <f>SUM(AY6:AY26)</f>
        <v>42149.700000000004</v>
      </c>
      <c r="AZ5" s="100">
        <f>AY5-AX5</f>
        <v>13696.890000000003</v>
      </c>
      <c r="BA5" s="143">
        <f>AX5/AO5</f>
        <v>0.8818715650698051</v>
      </c>
      <c r="BB5" s="142">
        <f>AY5/AX5-1</f>
        <v>0.4813897115961483</v>
      </c>
    </row>
    <row r="6" spans="1:54" s="71" customFormat="1" ht="33.75" customHeight="1">
      <c r="A6" s="95" t="s">
        <v>35</v>
      </c>
      <c r="B6" s="96"/>
      <c r="C6" s="96"/>
      <c r="D6" s="97">
        <v>10802</v>
      </c>
      <c r="E6" s="97">
        <v>12605</v>
      </c>
      <c r="F6" s="97">
        <v>10838</v>
      </c>
      <c r="G6" s="97">
        <v>8309</v>
      </c>
      <c r="H6" s="98">
        <v>4968</v>
      </c>
      <c r="I6" s="98">
        <v>5876</v>
      </c>
      <c r="J6" s="98">
        <v>5945.09</v>
      </c>
      <c r="K6" s="98">
        <v>7527.31</v>
      </c>
      <c r="L6" s="125">
        <f t="shared" si="1"/>
        <v>0.19667673107890504</v>
      </c>
      <c r="M6" s="98">
        <v>6696.78</v>
      </c>
      <c r="N6" s="98">
        <v>7613</v>
      </c>
      <c r="O6" s="125">
        <f t="shared" si="2"/>
        <v>1.0117579986385297</v>
      </c>
      <c r="P6" s="125">
        <f t="shared" si="3"/>
        <v>0.266138948274963</v>
      </c>
      <c r="Q6" s="133">
        <f t="shared" si="4"/>
        <v>-0.5416128436980993</v>
      </c>
      <c r="R6" s="133">
        <f t="shared" si="5"/>
        <v>0.5979058851847394</v>
      </c>
      <c r="S6" s="133">
        <f t="shared" si="6"/>
        <v>0.18276972624798712</v>
      </c>
      <c r="T6" s="133">
        <f t="shared" si="7"/>
        <v>0.0033327161636733937</v>
      </c>
      <c r="U6" s="133">
        <f t="shared" si="8"/>
        <v>0.8598175327251091</v>
      </c>
      <c r="V6" s="133">
        <f t="shared" si="9"/>
        <v>-0.23334563572614875</v>
      </c>
      <c r="W6" s="98">
        <v>8022.77</v>
      </c>
      <c r="X6" s="98">
        <v>8663.76</v>
      </c>
      <c r="Y6" s="98"/>
      <c r="Z6" s="145">
        <f t="shared" si="10"/>
        <v>1.0538250361224222</v>
      </c>
      <c r="AA6" s="146">
        <f>ROUND(X6/W6-1,2)</f>
        <v>0.08</v>
      </c>
      <c r="AB6" s="147" t="s">
        <v>36</v>
      </c>
      <c r="AC6" s="97"/>
      <c r="AD6" s="148"/>
      <c r="AE6" s="97">
        <v>3076</v>
      </c>
      <c r="AF6" s="97">
        <v>3605</v>
      </c>
      <c r="AG6" s="97">
        <v>4372</v>
      </c>
      <c r="AH6" s="97">
        <v>6076</v>
      </c>
      <c r="AI6" s="98">
        <v>5099</v>
      </c>
      <c r="AJ6" s="98">
        <v>4209.2</v>
      </c>
      <c r="AK6" s="98">
        <v>3702.57</v>
      </c>
      <c r="AL6" s="98">
        <v>4799.55</v>
      </c>
      <c r="AM6" s="125">
        <f aca="true" t="shared" si="18" ref="AM6:AM13">AK6/AI6-1</f>
        <v>-0.27386350264757797</v>
      </c>
      <c r="AN6" s="98">
        <v>3981.45</v>
      </c>
      <c r="AO6" s="98">
        <v>6093.84</v>
      </c>
      <c r="AP6" s="125">
        <f aca="true" t="shared" si="19" ref="AP6:AP13">AK6/AJ6</f>
        <v>0.8796374608001521</v>
      </c>
      <c r="AQ6" s="125">
        <f t="shared" si="11"/>
        <v>0.296275289866228</v>
      </c>
      <c r="AR6" s="133">
        <f t="shared" si="12"/>
        <v>0.16628545288197621</v>
      </c>
      <c r="AS6" s="133">
        <f t="shared" si="13"/>
        <v>0.8392034233048058</v>
      </c>
      <c r="AT6" s="133">
        <f t="shared" si="14"/>
        <v>-0.1745048048636988</v>
      </c>
      <c r="AU6" s="133">
        <f t="shared" si="15"/>
        <v>0.4213263979193758</v>
      </c>
      <c r="AV6" s="133">
        <f t="shared" si="16"/>
        <v>1.212760055478502</v>
      </c>
      <c r="AW6" s="133">
        <f t="shared" si="17"/>
        <v>0.3897529734675206</v>
      </c>
      <c r="AX6" s="98">
        <v>4345.91</v>
      </c>
      <c r="AY6" s="98">
        <v>6134.54</v>
      </c>
      <c r="AZ6" s="98"/>
      <c r="BA6" s="146">
        <f aca="true" t="shared" si="20" ref="BA6:BA39">AX6/AO6</f>
        <v>0.7131644414687619</v>
      </c>
      <c r="BB6" s="145">
        <f aca="true" t="shared" si="21" ref="BB6:BB39">AY6/AX6-1</f>
        <v>0.4115662772583879</v>
      </c>
    </row>
    <row r="7" spans="1:54" s="71" customFormat="1" ht="33.75" customHeight="1">
      <c r="A7" s="95"/>
      <c r="B7" s="96" t="e">
        <f>#REF!-#REF!</f>
        <v>#REF!</v>
      </c>
      <c r="C7" s="96" t="e">
        <f>#REF!-#REF!</f>
        <v>#REF!</v>
      </c>
      <c r="D7" s="97"/>
      <c r="E7" s="97"/>
      <c r="F7" s="97"/>
      <c r="G7" s="97"/>
      <c r="H7" s="98"/>
      <c r="I7" s="98"/>
      <c r="J7" s="98"/>
      <c r="K7" s="98"/>
      <c r="L7" s="125"/>
      <c r="M7" s="98"/>
      <c r="N7" s="98"/>
      <c r="O7" s="125"/>
      <c r="P7" s="125"/>
      <c r="Q7" s="133"/>
      <c r="R7" s="133"/>
      <c r="S7" s="133"/>
      <c r="T7" s="133"/>
      <c r="U7" s="133"/>
      <c r="V7" s="133"/>
      <c r="W7" s="98"/>
      <c r="X7" s="98"/>
      <c r="Y7" s="98"/>
      <c r="Z7" s="142"/>
      <c r="AA7" s="143"/>
      <c r="AB7" s="147" t="s">
        <v>37</v>
      </c>
      <c r="AC7" s="97"/>
      <c r="AD7" s="148"/>
      <c r="AE7" s="97">
        <v>1464</v>
      </c>
      <c r="AF7" s="97">
        <v>1517</v>
      </c>
      <c r="AG7" s="97">
        <v>1847</v>
      </c>
      <c r="AH7" s="97">
        <v>2453</v>
      </c>
      <c r="AI7" s="98">
        <v>2695</v>
      </c>
      <c r="AJ7" s="98">
        <v>3373.69</v>
      </c>
      <c r="AK7" s="98">
        <v>2821.64</v>
      </c>
      <c r="AL7" s="98">
        <v>3336.4</v>
      </c>
      <c r="AM7" s="125">
        <f t="shared" si="18"/>
        <v>0.04699072356215206</v>
      </c>
      <c r="AN7" s="98">
        <v>3062.31</v>
      </c>
      <c r="AO7" s="98">
        <v>3281.68</v>
      </c>
      <c r="AP7" s="125">
        <f t="shared" si="19"/>
        <v>0.8363661154403634</v>
      </c>
      <c r="AQ7" s="125">
        <f t="shared" si="11"/>
        <v>0.18243291135651618</v>
      </c>
      <c r="AR7" s="133">
        <f t="shared" si="12"/>
        <v>0.4591229020032485</v>
      </c>
      <c r="AS7" s="133">
        <f t="shared" si="13"/>
        <v>1.0986547085201794</v>
      </c>
      <c r="AT7" s="133">
        <f t="shared" si="14"/>
        <v>0.2518330241187384</v>
      </c>
      <c r="AU7" s="133">
        <f t="shared" si="15"/>
        <v>0.2616120218579235</v>
      </c>
      <c r="AV7" s="133">
        <f t="shared" si="16"/>
        <v>1.2175346077785103</v>
      </c>
      <c r="AW7" s="133">
        <f t="shared" si="17"/>
        <v>0.32809962100703843</v>
      </c>
      <c r="AX7" s="98">
        <v>3419.39</v>
      </c>
      <c r="AY7" s="98">
        <v>3758.47</v>
      </c>
      <c r="AZ7" s="98"/>
      <c r="BA7" s="146">
        <f t="shared" si="20"/>
        <v>1.0419632627190951</v>
      </c>
      <c r="BB7" s="145">
        <f t="shared" si="21"/>
        <v>0.09916388595626713</v>
      </c>
    </row>
    <row r="8" spans="1:54" s="71" customFormat="1" ht="33.75" customHeight="1">
      <c r="A8" s="95" t="s">
        <v>38</v>
      </c>
      <c r="B8" s="96" t="e">
        <f>B9+B12+B16+B20+B22</f>
        <v>#REF!</v>
      </c>
      <c r="C8" s="96" t="e">
        <f>C9+C12+C16+C20+C22</f>
        <v>#REF!</v>
      </c>
      <c r="D8" s="96">
        <f aca="true" t="shared" si="22" ref="D8:G8">D9+D12+D18+D20+D22+D16</f>
        <v>3129</v>
      </c>
      <c r="E8" s="96">
        <f t="shared" si="22"/>
        <v>6274</v>
      </c>
      <c r="F8" s="96">
        <f t="shared" si="22"/>
        <v>6927</v>
      </c>
      <c r="G8" s="96">
        <f t="shared" si="22"/>
        <v>4701</v>
      </c>
      <c r="H8" s="98">
        <f aca="true" t="shared" si="23" ref="H8:J8">H9+H12+H16+H18+H20+H22</f>
        <v>11314</v>
      </c>
      <c r="I8" s="98">
        <f t="shared" si="23"/>
        <v>11708.05</v>
      </c>
      <c r="J8" s="98">
        <f t="shared" si="23"/>
        <v>9446.48</v>
      </c>
      <c r="K8" s="98">
        <v>9557.21</v>
      </c>
      <c r="L8" s="125">
        <f t="shared" si="1"/>
        <v>-0.1650627541099523</v>
      </c>
      <c r="M8" s="98">
        <v>7784.05</v>
      </c>
      <c r="N8" s="98">
        <v>7061.21</v>
      </c>
      <c r="O8" s="125">
        <f t="shared" si="2"/>
        <v>0.806836322017757</v>
      </c>
      <c r="P8" s="125">
        <f t="shared" si="3"/>
        <v>0.011721826542796743</v>
      </c>
      <c r="Q8" s="133">
        <f t="shared" si="4"/>
        <v>0.6333188970694384</v>
      </c>
      <c r="R8" s="133">
        <f t="shared" si="5"/>
        <v>2.4067219740480748</v>
      </c>
      <c r="S8" s="133">
        <f t="shared" si="6"/>
        <v>0.034828531023510634</v>
      </c>
      <c r="T8" s="133">
        <f t="shared" si="7"/>
        <v>1.2138063279002875</v>
      </c>
      <c r="U8" s="133">
        <f t="shared" si="8"/>
        <v>1.1040803315269365</v>
      </c>
      <c r="V8" s="133">
        <f t="shared" si="9"/>
        <v>-0.321351234300563</v>
      </c>
      <c r="W8" s="98">
        <f>W9+W12+W16+W18+W20+W22</f>
        <v>6184.68</v>
      </c>
      <c r="X8" s="98">
        <f>X9+X12+X20+X22</f>
        <v>7404.87</v>
      </c>
      <c r="Y8" s="98"/>
      <c r="Z8" s="145">
        <f t="shared" si="10"/>
        <v>0.8758668840042996</v>
      </c>
      <c r="AA8" s="146">
        <f aca="true" t="shared" si="24" ref="AA8:AA39">X8/W8-1</f>
        <v>0.19729234172180288</v>
      </c>
      <c r="AB8" s="149" t="s">
        <v>39</v>
      </c>
      <c r="AC8" s="97"/>
      <c r="AD8" s="148"/>
      <c r="AE8" s="97">
        <v>3705</v>
      </c>
      <c r="AF8" s="97">
        <v>3044</v>
      </c>
      <c r="AG8" s="97">
        <v>3610</v>
      </c>
      <c r="AH8" s="97">
        <v>3488</v>
      </c>
      <c r="AI8" s="98">
        <v>3445</v>
      </c>
      <c r="AJ8" s="98">
        <v>3748.29</v>
      </c>
      <c r="AK8" s="98">
        <v>3925.83</v>
      </c>
      <c r="AL8" s="98">
        <v>4224.03</v>
      </c>
      <c r="AM8" s="125">
        <f t="shared" si="18"/>
        <v>0.13957329462989843</v>
      </c>
      <c r="AN8" s="98">
        <v>4311.19</v>
      </c>
      <c r="AO8" s="98">
        <v>4719.52</v>
      </c>
      <c r="AP8" s="125">
        <f t="shared" si="19"/>
        <v>1.047365598713013</v>
      </c>
      <c r="AQ8" s="125">
        <f t="shared" si="11"/>
        <v>0.07595845973972382</v>
      </c>
      <c r="AR8" s="133">
        <f t="shared" si="12"/>
        <v>-0.045706371191135735</v>
      </c>
      <c r="AS8" s="133">
        <f t="shared" si="13"/>
        <v>0.9876720183486238</v>
      </c>
      <c r="AT8" s="133">
        <f t="shared" si="14"/>
        <v>0.0880377358490566</v>
      </c>
      <c r="AU8" s="133">
        <f t="shared" si="15"/>
        <v>-0.02564102564102564</v>
      </c>
      <c r="AV8" s="133">
        <f t="shared" si="16"/>
        <v>1.185939553219448</v>
      </c>
      <c r="AW8" s="133">
        <f t="shared" si="17"/>
        <v>-0.033795013850415515</v>
      </c>
      <c r="AX8" s="98">
        <v>4554.7</v>
      </c>
      <c r="AY8" s="98">
        <v>4933.57</v>
      </c>
      <c r="AZ8" s="98"/>
      <c r="BA8" s="146">
        <f t="shared" si="20"/>
        <v>0.9650769569786757</v>
      </c>
      <c r="BB8" s="145">
        <f t="shared" si="21"/>
        <v>0.08318220739016846</v>
      </c>
    </row>
    <row r="9" spans="1:54" s="71" customFormat="1" ht="33.75" customHeight="1">
      <c r="A9" s="99" t="s">
        <v>40</v>
      </c>
      <c r="B9" s="96" t="e">
        <f>#REF!-#REF!</f>
        <v>#REF!</v>
      </c>
      <c r="C9" s="96" t="e">
        <f>#REF!-#REF!</f>
        <v>#REF!</v>
      </c>
      <c r="D9" s="97">
        <f aca="true" t="shared" si="25" ref="D9:G9">SUM(D10:D11)</f>
        <v>445</v>
      </c>
      <c r="E9" s="97">
        <f t="shared" si="25"/>
        <v>556</v>
      </c>
      <c r="F9" s="97">
        <f t="shared" si="25"/>
        <v>981</v>
      </c>
      <c r="G9" s="97">
        <f t="shared" si="25"/>
        <v>546</v>
      </c>
      <c r="H9" s="98">
        <f aca="true" t="shared" si="26" ref="H9:J9">H10</f>
        <v>719</v>
      </c>
      <c r="I9" s="98">
        <f t="shared" si="26"/>
        <v>406</v>
      </c>
      <c r="J9" s="98">
        <f t="shared" si="26"/>
        <v>826.16</v>
      </c>
      <c r="K9" s="98">
        <v>1076</v>
      </c>
      <c r="L9" s="125">
        <f t="shared" si="1"/>
        <v>0.14904033379694015</v>
      </c>
      <c r="M9" s="98">
        <v>894.17</v>
      </c>
      <c r="N9" s="98">
        <v>986</v>
      </c>
      <c r="O9" s="125">
        <f t="shared" si="2"/>
        <v>2.0348768472906404</v>
      </c>
      <c r="P9" s="125">
        <f t="shared" si="3"/>
        <v>0.3024111552241697</v>
      </c>
      <c r="Q9" s="133">
        <f t="shared" si="4"/>
        <v>-0.2670744138634047</v>
      </c>
      <c r="R9" s="133">
        <f t="shared" si="5"/>
        <v>1.3168498168498168</v>
      </c>
      <c r="S9" s="133">
        <f t="shared" si="6"/>
        <v>-0.43532684283727396</v>
      </c>
      <c r="T9" s="133">
        <f t="shared" si="7"/>
        <v>1.2044943820224718</v>
      </c>
      <c r="U9" s="133">
        <f t="shared" si="8"/>
        <v>1.764388489208633</v>
      </c>
      <c r="V9" s="133">
        <f t="shared" si="9"/>
        <v>-0.4434250764525994</v>
      </c>
      <c r="W9" s="98">
        <v>909.73</v>
      </c>
      <c r="X9" s="98">
        <v>936.1</v>
      </c>
      <c r="Y9" s="98"/>
      <c r="Z9" s="145">
        <f t="shared" si="10"/>
        <v>0.9226470588235294</v>
      </c>
      <c r="AA9" s="146">
        <f t="shared" si="24"/>
        <v>0.028986622404449713</v>
      </c>
      <c r="AB9" s="150" t="s">
        <v>41</v>
      </c>
      <c r="AC9" s="97"/>
      <c r="AD9" s="148"/>
      <c r="AE9" s="97">
        <v>8</v>
      </c>
      <c r="AF9" s="97">
        <v>10</v>
      </c>
      <c r="AG9" s="97">
        <v>35</v>
      </c>
      <c r="AH9" s="97">
        <v>25</v>
      </c>
      <c r="AI9" s="98">
        <v>25</v>
      </c>
      <c r="AJ9" s="98">
        <v>25.2</v>
      </c>
      <c r="AK9" s="98">
        <v>85.72</v>
      </c>
      <c r="AL9" s="98">
        <v>22.5</v>
      </c>
      <c r="AM9" s="125">
        <f t="shared" si="18"/>
        <v>2.4288</v>
      </c>
      <c r="AN9" s="98">
        <v>569.68</v>
      </c>
      <c r="AO9" s="98">
        <v>104.53</v>
      </c>
      <c r="AP9" s="125">
        <f t="shared" si="19"/>
        <v>3.4015873015873015</v>
      </c>
      <c r="AQ9" s="125">
        <v>0.02</v>
      </c>
      <c r="AR9" s="133">
        <f t="shared" si="12"/>
        <v>-0.2857142857142857</v>
      </c>
      <c r="AS9" s="133">
        <f t="shared" si="13"/>
        <v>1</v>
      </c>
      <c r="AT9" s="133">
        <f t="shared" si="14"/>
        <v>0.007999999999999972</v>
      </c>
      <c r="AU9" s="133">
        <f t="shared" si="15"/>
        <v>3.375</v>
      </c>
      <c r="AV9" s="133">
        <f t="shared" si="16"/>
        <v>3.5</v>
      </c>
      <c r="AW9" s="133">
        <f t="shared" si="17"/>
        <v>-0.2857142857142857</v>
      </c>
      <c r="AX9" s="98">
        <v>742.64</v>
      </c>
      <c r="AY9" s="98">
        <v>606.65</v>
      </c>
      <c r="AZ9" s="98"/>
      <c r="BA9" s="146">
        <f t="shared" si="20"/>
        <v>7.104563283267961</v>
      </c>
      <c r="BB9" s="145">
        <f t="shared" si="21"/>
        <v>-0.18311698804265863</v>
      </c>
    </row>
    <row r="10" spans="1:54" s="71" customFormat="1" ht="33.75" customHeight="1">
      <c r="A10" s="99" t="s">
        <v>42</v>
      </c>
      <c r="B10" s="96" t="e">
        <f>#REF!-#REF!</f>
        <v>#REF!</v>
      </c>
      <c r="C10" s="96" t="e">
        <f>#REF!-#REF!</f>
        <v>#REF!</v>
      </c>
      <c r="D10" s="97">
        <v>445</v>
      </c>
      <c r="E10" s="97">
        <v>556</v>
      </c>
      <c r="F10" s="97">
        <v>981</v>
      </c>
      <c r="G10" s="97">
        <v>546</v>
      </c>
      <c r="H10" s="98">
        <v>719</v>
      </c>
      <c r="I10" s="98">
        <v>406</v>
      </c>
      <c r="J10" s="98">
        <v>826.16</v>
      </c>
      <c r="K10" s="98">
        <v>1076</v>
      </c>
      <c r="L10" s="125">
        <f t="shared" si="1"/>
        <v>0.14904033379694015</v>
      </c>
      <c r="M10" s="98">
        <v>894.17</v>
      </c>
      <c r="N10" s="98">
        <v>986</v>
      </c>
      <c r="O10" s="125">
        <f t="shared" si="2"/>
        <v>2.0348768472906404</v>
      </c>
      <c r="P10" s="125">
        <f t="shared" si="3"/>
        <v>0.3024111552241697</v>
      </c>
      <c r="Q10" s="133">
        <f t="shared" si="4"/>
        <v>-0.2670744138634047</v>
      </c>
      <c r="R10" s="133">
        <f t="shared" si="5"/>
        <v>1.3168498168498168</v>
      </c>
      <c r="S10" s="133">
        <f t="shared" si="6"/>
        <v>-0.43532684283727396</v>
      </c>
      <c r="T10" s="133">
        <f t="shared" si="7"/>
        <v>1.2044943820224718</v>
      </c>
      <c r="U10" s="133">
        <f t="shared" si="8"/>
        <v>1.764388489208633</v>
      </c>
      <c r="V10" s="133">
        <f t="shared" si="9"/>
        <v>-0.4434250764525994</v>
      </c>
      <c r="W10" s="98">
        <v>909.73</v>
      </c>
      <c r="X10" s="98">
        <v>936.1</v>
      </c>
      <c r="Y10" s="98"/>
      <c r="Z10" s="145">
        <f t="shared" si="10"/>
        <v>0.9226470588235294</v>
      </c>
      <c r="AA10" s="146">
        <f t="shared" si="24"/>
        <v>0.028986622404449713</v>
      </c>
      <c r="AB10" s="150" t="s">
        <v>43</v>
      </c>
      <c r="AC10" s="97"/>
      <c r="AD10" s="148"/>
      <c r="AE10" s="97">
        <v>192</v>
      </c>
      <c r="AF10" s="97">
        <v>101</v>
      </c>
      <c r="AG10" s="97">
        <v>287</v>
      </c>
      <c r="AH10" s="97">
        <v>365</v>
      </c>
      <c r="AI10" s="98">
        <v>422</v>
      </c>
      <c r="AJ10" s="98">
        <v>196.97</v>
      </c>
      <c r="AK10" s="98">
        <v>272.87</v>
      </c>
      <c r="AL10" s="98">
        <v>181.75</v>
      </c>
      <c r="AM10" s="125">
        <f t="shared" si="18"/>
        <v>-0.353388625592417</v>
      </c>
      <c r="AN10" s="98">
        <v>279.6</v>
      </c>
      <c r="AO10" s="98">
        <v>187.86</v>
      </c>
      <c r="AP10" s="125">
        <f t="shared" si="19"/>
        <v>1.3853378687109712</v>
      </c>
      <c r="AQ10" s="125">
        <f aca="true" t="shared" si="27" ref="AQ10:AQ13">AL10/AK10-1</f>
        <v>-0.33393190896764025</v>
      </c>
      <c r="AR10" s="133">
        <f t="shared" si="12"/>
        <v>0.47038327526132406</v>
      </c>
      <c r="AS10" s="133">
        <f t="shared" si="13"/>
        <v>1.1561643835616437</v>
      </c>
      <c r="AT10" s="133">
        <f t="shared" si="14"/>
        <v>-0.5332464454976303</v>
      </c>
      <c r="AU10" s="133">
        <f t="shared" si="15"/>
        <v>0.4947916666666667</v>
      </c>
      <c r="AV10" s="133">
        <f t="shared" si="16"/>
        <v>2.8415841584158414</v>
      </c>
      <c r="AW10" s="133">
        <f t="shared" si="17"/>
        <v>0.27177700348432055</v>
      </c>
      <c r="AX10" s="98">
        <v>310.4</v>
      </c>
      <c r="AY10" s="98">
        <v>274.07</v>
      </c>
      <c r="AZ10" s="98"/>
      <c r="BA10" s="146">
        <f t="shared" si="20"/>
        <v>1.6522942616842327</v>
      </c>
      <c r="BB10" s="145">
        <f t="shared" si="21"/>
        <v>-0.11704252577319585</v>
      </c>
    </row>
    <row r="11" spans="1:54" s="71" customFormat="1" ht="33.75" customHeight="1">
      <c r="A11" s="99"/>
      <c r="B11" s="96" t="e">
        <f>#REF!-#REF!</f>
        <v>#REF!</v>
      </c>
      <c r="C11" s="96" t="e">
        <f>#REF!-#REF!</f>
        <v>#REF!</v>
      </c>
      <c r="D11" s="97"/>
      <c r="E11" s="97"/>
      <c r="F11" s="97"/>
      <c r="G11" s="97"/>
      <c r="H11" s="98"/>
      <c r="I11" s="98"/>
      <c r="J11" s="98"/>
      <c r="K11" s="98"/>
      <c r="L11" s="125"/>
      <c r="M11" s="98"/>
      <c r="N11" s="98"/>
      <c r="O11" s="125"/>
      <c r="P11" s="125"/>
      <c r="Q11" s="133"/>
      <c r="R11" s="133"/>
      <c r="S11" s="133"/>
      <c r="T11" s="133"/>
      <c r="U11" s="133"/>
      <c r="V11" s="133"/>
      <c r="W11" s="98"/>
      <c r="X11" s="98"/>
      <c r="Y11" s="98"/>
      <c r="Z11" s="145"/>
      <c r="AA11" s="146"/>
      <c r="AB11" s="151" t="s">
        <v>44</v>
      </c>
      <c r="AC11" s="97"/>
      <c r="AD11" s="148"/>
      <c r="AE11" s="97">
        <v>1553</v>
      </c>
      <c r="AF11" s="97">
        <v>1600</v>
      </c>
      <c r="AG11" s="97">
        <v>1911</v>
      </c>
      <c r="AH11" s="97">
        <v>3008</v>
      </c>
      <c r="AI11" s="98">
        <v>2466</v>
      </c>
      <c r="AJ11" s="98">
        <v>2571.5</v>
      </c>
      <c r="AK11" s="98">
        <v>2208.6</v>
      </c>
      <c r="AL11" s="98">
        <v>2498.45</v>
      </c>
      <c r="AM11" s="125">
        <f t="shared" si="18"/>
        <v>-0.10437956204379562</v>
      </c>
      <c r="AN11" s="98">
        <v>1481.79</v>
      </c>
      <c r="AO11" s="98">
        <v>2277.25</v>
      </c>
      <c r="AP11" s="125">
        <f t="shared" si="19"/>
        <v>0.8588761423293797</v>
      </c>
      <c r="AQ11" s="125">
        <f t="shared" si="27"/>
        <v>0.13123698270397544</v>
      </c>
      <c r="AR11" s="133">
        <f t="shared" si="12"/>
        <v>0.2904238618524333</v>
      </c>
      <c r="AS11" s="133">
        <f t="shared" si="13"/>
        <v>0.819813829787234</v>
      </c>
      <c r="AT11" s="133">
        <f t="shared" si="14"/>
        <v>0.04278183292781833</v>
      </c>
      <c r="AU11" s="133">
        <f t="shared" si="15"/>
        <v>0.23052157115260785</v>
      </c>
      <c r="AV11" s="133">
        <f t="shared" si="16"/>
        <v>1.194375</v>
      </c>
      <c r="AW11" s="133">
        <f t="shared" si="17"/>
        <v>0.5740450026164312</v>
      </c>
      <c r="AX11" s="98">
        <v>2375.86</v>
      </c>
      <c r="AY11" s="98">
        <v>2864.05</v>
      </c>
      <c r="AZ11" s="98"/>
      <c r="BA11" s="146">
        <f t="shared" si="20"/>
        <v>1.0433022285651554</v>
      </c>
      <c r="BB11" s="145">
        <f t="shared" si="21"/>
        <v>0.20547927908210073</v>
      </c>
    </row>
    <row r="12" spans="1:54" s="71" customFormat="1" ht="33.75" customHeight="1">
      <c r="A12" s="99" t="s">
        <v>45</v>
      </c>
      <c r="B12" s="96" t="e">
        <f>#REF!-#REF!</f>
        <v>#REF!</v>
      </c>
      <c r="C12" s="96" t="e">
        <f>#REF!-#REF!</f>
        <v>#REF!</v>
      </c>
      <c r="D12" s="96">
        <f aca="true" t="shared" si="28" ref="D12:G12">SUM(D13:D14)</f>
        <v>1410</v>
      </c>
      <c r="E12" s="96">
        <f t="shared" si="28"/>
        <v>3404</v>
      </c>
      <c r="F12" s="96">
        <f t="shared" si="28"/>
        <v>2242</v>
      </c>
      <c r="G12" s="96">
        <f t="shared" si="28"/>
        <v>2501</v>
      </c>
      <c r="H12" s="98">
        <v>2471</v>
      </c>
      <c r="I12" s="98">
        <f>I13+I14</f>
        <v>1098</v>
      </c>
      <c r="J12" s="98">
        <f>J13+J14</f>
        <v>1210.48</v>
      </c>
      <c r="K12" s="98">
        <v>1011.91</v>
      </c>
      <c r="L12" s="125">
        <f aca="true" t="shared" si="29" ref="L12:L14">J12/H12-1</f>
        <v>-0.5101254552812626</v>
      </c>
      <c r="M12" s="98">
        <v>955.95</v>
      </c>
      <c r="N12" s="98">
        <v>1189.71</v>
      </c>
      <c r="O12" s="125">
        <f aca="true" t="shared" si="30" ref="O12:O14">J12/I12</f>
        <v>1.102440801457195</v>
      </c>
      <c r="P12" s="125">
        <f aca="true" t="shared" si="31" ref="P12:P14">K12/J12-1</f>
        <v>-0.16404236335998945</v>
      </c>
      <c r="Q12" s="133">
        <f aca="true" t="shared" si="32" ref="Q12:Q16">(H12-F12)/F12</f>
        <v>0.10214094558429973</v>
      </c>
      <c r="R12" s="133">
        <f aca="true" t="shared" si="33" ref="R12:R14">H12/G12</f>
        <v>0.9880047980807677</v>
      </c>
      <c r="S12" s="133">
        <f aca="true" t="shared" si="34" ref="S12:S14">(I12-H12)/H12</f>
        <v>-0.5556454876568191</v>
      </c>
      <c r="T12" s="133">
        <f>(F12-D12)/D12</f>
        <v>0.5900709219858156</v>
      </c>
      <c r="U12" s="133">
        <f>F12/E12</f>
        <v>0.6586368977673326</v>
      </c>
      <c r="V12" s="133">
        <f>(G12-F12)/F12</f>
        <v>0.11552185548617305</v>
      </c>
      <c r="W12" s="98">
        <v>1277.43</v>
      </c>
      <c r="X12" s="98">
        <v>301.07</v>
      </c>
      <c r="Y12" s="98"/>
      <c r="Z12" s="145">
        <f aca="true" t="shared" si="35" ref="Z12:Z14">W12/N12</f>
        <v>1.073732254078725</v>
      </c>
      <c r="AA12" s="146">
        <f t="shared" si="24"/>
        <v>-0.7643158529234478</v>
      </c>
      <c r="AB12" s="151" t="s">
        <v>46</v>
      </c>
      <c r="AC12" s="97"/>
      <c r="AD12" s="148"/>
      <c r="AE12" s="97">
        <v>352</v>
      </c>
      <c r="AF12" s="97">
        <v>692</v>
      </c>
      <c r="AG12" s="97">
        <v>960</v>
      </c>
      <c r="AH12" s="97">
        <v>1794</v>
      </c>
      <c r="AI12" s="98">
        <v>4990</v>
      </c>
      <c r="AJ12" s="98">
        <v>5022.7</v>
      </c>
      <c r="AK12" s="98">
        <v>4967.73</v>
      </c>
      <c r="AL12" s="98">
        <v>5489.32</v>
      </c>
      <c r="AM12" s="125">
        <f t="shared" si="18"/>
        <v>-0.004462925851703492</v>
      </c>
      <c r="AN12" s="98">
        <v>4883.39</v>
      </c>
      <c r="AO12" s="98">
        <v>5690.67</v>
      </c>
      <c r="AP12" s="125">
        <f t="shared" si="19"/>
        <v>0.9890556871802019</v>
      </c>
      <c r="AQ12" s="125">
        <f t="shared" si="27"/>
        <v>0.1049956418726461</v>
      </c>
      <c r="AR12" s="100">
        <v>0</v>
      </c>
      <c r="AS12" s="100">
        <v>0</v>
      </c>
      <c r="AT12" s="100">
        <v>0</v>
      </c>
      <c r="AU12" s="133"/>
      <c r="AV12" s="133"/>
      <c r="AW12" s="133" t="e">
        <f>(#REF!-#REF!)/#REF!</f>
        <v>#REF!</v>
      </c>
      <c r="AX12" s="98">
        <v>4232.35</v>
      </c>
      <c r="AY12" s="98">
        <v>5318.58</v>
      </c>
      <c r="AZ12" s="98"/>
      <c r="BA12" s="146">
        <f t="shared" si="20"/>
        <v>0.7437349204926661</v>
      </c>
      <c r="BB12" s="145">
        <f t="shared" si="21"/>
        <v>0.2566493791865039</v>
      </c>
    </row>
    <row r="13" spans="1:54" s="71" customFormat="1" ht="33.75" customHeight="1">
      <c r="A13" s="99" t="s">
        <v>47</v>
      </c>
      <c r="B13" s="96"/>
      <c r="C13" s="96"/>
      <c r="D13" s="97">
        <v>1019</v>
      </c>
      <c r="E13" s="97">
        <v>3262</v>
      </c>
      <c r="F13" s="97">
        <v>2242</v>
      </c>
      <c r="G13" s="97">
        <v>2359</v>
      </c>
      <c r="H13" s="98">
        <f>H12-H14</f>
        <v>407</v>
      </c>
      <c r="I13" s="98">
        <v>266</v>
      </c>
      <c r="J13" s="98">
        <v>383.82</v>
      </c>
      <c r="K13" s="98">
        <v>947.91</v>
      </c>
      <c r="L13" s="125">
        <f t="shared" si="29"/>
        <v>-0.05695331695331696</v>
      </c>
      <c r="M13" s="98">
        <v>173.61</v>
      </c>
      <c r="N13" s="98">
        <v>541.51</v>
      </c>
      <c r="O13" s="125">
        <f t="shared" si="30"/>
        <v>1.4429323308270676</v>
      </c>
      <c r="P13" s="125">
        <f t="shared" si="31"/>
        <v>1.46967328435204</v>
      </c>
      <c r="Q13" s="133">
        <f t="shared" si="32"/>
        <v>-0.8184656556645852</v>
      </c>
      <c r="R13" s="133">
        <f t="shared" si="33"/>
        <v>0.17253073336159389</v>
      </c>
      <c r="S13" s="133">
        <f t="shared" si="34"/>
        <v>-0.3464373464373464</v>
      </c>
      <c r="T13" s="133"/>
      <c r="U13" s="133"/>
      <c r="V13" s="133"/>
      <c r="W13" s="98">
        <v>321.02</v>
      </c>
      <c r="X13" s="98">
        <v>198.07</v>
      </c>
      <c r="Y13" s="98"/>
      <c r="Z13" s="145">
        <f t="shared" si="35"/>
        <v>0.5928237705674871</v>
      </c>
      <c r="AA13" s="146">
        <f t="shared" si="24"/>
        <v>-0.38299794405333</v>
      </c>
      <c r="AB13" s="151" t="s">
        <v>48</v>
      </c>
      <c r="AC13" s="97"/>
      <c r="AD13" s="148"/>
      <c r="AE13" s="97">
        <v>1754</v>
      </c>
      <c r="AF13" s="97">
        <v>830</v>
      </c>
      <c r="AG13" s="97">
        <v>884</v>
      </c>
      <c r="AH13" s="97">
        <v>401</v>
      </c>
      <c r="AI13" s="98">
        <v>391</v>
      </c>
      <c r="AJ13" s="98">
        <v>601.4</v>
      </c>
      <c r="AK13" s="98">
        <v>881.43</v>
      </c>
      <c r="AL13" s="98">
        <v>1473.51</v>
      </c>
      <c r="AM13" s="125">
        <f t="shared" si="18"/>
        <v>1.2542966751918159</v>
      </c>
      <c r="AN13" s="98">
        <v>642.17</v>
      </c>
      <c r="AO13" s="98">
        <v>311.69</v>
      </c>
      <c r="AP13" s="125">
        <f t="shared" si="19"/>
        <v>1.465630196208846</v>
      </c>
      <c r="AQ13" s="125">
        <f t="shared" si="27"/>
        <v>0.6717266260508492</v>
      </c>
      <c r="AR13" s="133">
        <f>(AI12-AG12)/AG12</f>
        <v>4.197916666666667</v>
      </c>
      <c r="AS13" s="133">
        <f>AI12/AH12</f>
        <v>2.78149386845039</v>
      </c>
      <c r="AT13" s="133">
        <f>(AJ12-AI12)/AI12</f>
        <v>0.006553106212424813</v>
      </c>
      <c r="AU13" s="133">
        <f>(AG12-AE12)/AE12</f>
        <v>1.7272727272727273</v>
      </c>
      <c r="AV13" s="133">
        <f>AG12/AF12</f>
        <v>1.3872832369942196</v>
      </c>
      <c r="AW13" s="133">
        <f>(AH12-AG12)/AG12</f>
        <v>0.86875</v>
      </c>
      <c r="AX13" s="98">
        <v>465.71</v>
      </c>
      <c r="AY13" s="98">
        <v>887.98</v>
      </c>
      <c r="AZ13" s="98"/>
      <c r="BA13" s="146">
        <f t="shared" si="20"/>
        <v>1.4941448233822066</v>
      </c>
      <c r="BB13" s="145">
        <f t="shared" si="21"/>
        <v>0.9067230680036935</v>
      </c>
    </row>
    <row r="14" spans="1:54" s="71" customFormat="1" ht="33.75" customHeight="1">
      <c r="A14" s="99" t="s">
        <v>49</v>
      </c>
      <c r="B14" s="96"/>
      <c r="C14" s="96"/>
      <c r="D14" s="97">
        <v>391</v>
      </c>
      <c r="E14" s="97">
        <v>142</v>
      </c>
      <c r="F14" s="100">
        <v>0</v>
      </c>
      <c r="G14" s="97">
        <v>142</v>
      </c>
      <c r="H14" s="98">
        <v>2064</v>
      </c>
      <c r="I14" s="98">
        <v>832</v>
      </c>
      <c r="J14" s="98">
        <v>826.66</v>
      </c>
      <c r="K14" s="98">
        <v>64</v>
      </c>
      <c r="L14" s="125">
        <f t="shared" si="29"/>
        <v>-0.5994864341085271</v>
      </c>
      <c r="M14" s="98">
        <v>782.34</v>
      </c>
      <c r="N14" s="98">
        <v>648.2</v>
      </c>
      <c r="O14" s="125">
        <f t="shared" si="30"/>
        <v>0.9935817307692307</v>
      </c>
      <c r="P14" s="125">
        <f t="shared" si="31"/>
        <v>-0.9225800208066194</v>
      </c>
      <c r="Q14" s="100">
        <v>0</v>
      </c>
      <c r="R14" s="133">
        <f t="shared" si="33"/>
        <v>14.535211267605634</v>
      </c>
      <c r="S14" s="133">
        <f t="shared" si="34"/>
        <v>-0.5968992248062015</v>
      </c>
      <c r="T14" s="133">
        <f aca="true" t="shared" si="36" ref="T14:T19">(F13-D13)/D13</f>
        <v>1.2001962708537781</v>
      </c>
      <c r="U14" s="133">
        <f aca="true" t="shared" si="37" ref="U14:U19">F13/E13</f>
        <v>0.6873083997547517</v>
      </c>
      <c r="V14" s="133">
        <f aca="true" t="shared" si="38" ref="V14:V19">(G13-F13)/F13</f>
        <v>0.052185548617305975</v>
      </c>
      <c r="W14" s="98">
        <v>956.41</v>
      </c>
      <c r="X14" s="98">
        <v>103</v>
      </c>
      <c r="Y14" s="98"/>
      <c r="Z14" s="145">
        <f t="shared" si="35"/>
        <v>1.47548596112311</v>
      </c>
      <c r="AA14" s="146">
        <f t="shared" si="24"/>
        <v>-0.8923056011543167</v>
      </c>
      <c r="AB14" s="147" t="s">
        <v>50</v>
      </c>
      <c r="AC14" s="97"/>
      <c r="AD14" s="148"/>
      <c r="AE14" s="97">
        <v>1145</v>
      </c>
      <c r="AF14" s="97">
        <v>1189</v>
      </c>
      <c r="AG14" s="97">
        <v>1237</v>
      </c>
      <c r="AH14" s="97">
        <v>2522</v>
      </c>
      <c r="AI14" s="98">
        <v>1578</v>
      </c>
      <c r="AJ14" s="98">
        <v>2267.44</v>
      </c>
      <c r="AK14" s="98">
        <v>2051.16</v>
      </c>
      <c r="AL14" s="98">
        <v>3362.74</v>
      </c>
      <c r="AM14" s="125">
        <f aca="true" t="shared" si="39" ref="AM14:AM19">AK14/AI14-1</f>
        <v>0.299847908745247</v>
      </c>
      <c r="AN14" s="98">
        <v>3458.79</v>
      </c>
      <c r="AO14" s="98">
        <v>4226.03</v>
      </c>
      <c r="AP14" s="125">
        <f aca="true" t="shared" si="40" ref="AP14:AP19">AK14/AJ14</f>
        <v>0.9046148960942736</v>
      </c>
      <c r="AQ14" s="125">
        <f aca="true" t="shared" si="41" ref="AQ14:AQ19">AL14/AK14-1</f>
        <v>0.6394332962811287</v>
      </c>
      <c r="AR14" s="133">
        <f>(AI13-AG13)/AG13</f>
        <v>-0.5576923076923077</v>
      </c>
      <c r="AS14" s="133">
        <f>AI13/AH13</f>
        <v>0.9750623441396509</v>
      </c>
      <c r="AT14" s="133">
        <f>(AJ13-AI13)/AI13</f>
        <v>0.5381074168797954</v>
      </c>
      <c r="AU14" s="133">
        <f>(AG13-AE13)/AE13</f>
        <v>-0.4960091220068415</v>
      </c>
      <c r="AV14" s="133">
        <f>AG13/AF13</f>
        <v>1.0650602409638554</v>
      </c>
      <c r="AW14" s="133">
        <f>(AH13-AG13)/AG13</f>
        <v>-0.5463800904977375</v>
      </c>
      <c r="AX14" s="98">
        <v>3119.12</v>
      </c>
      <c r="AY14" s="98">
        <v>1454.66</v>
      </c>
      <c r="AZ14" s="98"/>
      <c r="BA14" s="146">
        <f t="shared" si="20"/>
        <v>0.7380733217700773</v>
      </c>
      <c r="BB14" s="145">
        <f t="shared" si="21"/>
        <v>-0.53363128061761</v>
      </c>
    </row>
    <row r="15" spans="1:54" s="71" customFormat="1" ht="33.75" customHeight="1">
      <c r="A15" s="101"/>
      <c r="B15" s="102"/>
      <c r="C15" s="102"/>
      <c r="D15" s="102"/>
      <c r="E15" s="102"/>
      <c r="F15" s="102"/>
      <c r="G15" s="102"/>
      <c r="H15" s="103"/>
      <c r="I15" s="103"/>
      <c r="J15" s="103"/>
      <c r="K15" s="103"/>
      <c r="L15" s="125"/>
      <c r="M15" s="98"/>
      <c r="N15" s="98"/>
      <c r="O15" s="125"/>
      <c r="P15" s="125"/>
      <c r="Q15" s="133"/>
      <c r="R15" s="133"/>
      <c r="S15" s="133"/>
      <c r="T15" s="133">
        <f t="shared" si="36"/>
        <v>-1</v>
      </c>
      <c r="U15" s="133">
        <f t="shared" si="37"/>
        <v>0</v>
      </c>
      <c r="V15" s="100">
        <v>0</v>
      </c>
      <c r="W15" s="98"/>
      <c r="X15" s="98"/>
      <c r="Y15" s="98"/>
      <c r="Z15" s="142"/>
      <c r="AA15" s="143"/>
      <c r="AB15" s="149" t="s">
        <v>51</v>
      </c>
      <c r="AC15" s="97"/>
      <c r="AD15" s="148"/>
      <c r="AE15" s="97">
        <v>5292</v>
      </c>
      <c r="AF15" s="97">
        <v>5872</v>
      </c>
      <c r="AG15" s="97">
        <v>4254</v>
      </c>
      <c r="AH15" s="97">
        <v>7910</v>
      </c>
      <c r="AI15" s="98">
        <v>4186</v>
      </c>
      <c r="AJ15" s="98">
        <v>6292.78</v>
      </c>
      <c r="AK15" s="98">
        <v>3597.79</v>
      </c>
      <c r="AL15" s="98">
        <v>3390.43</v>
      </c>
      <c r="AM15" s="125">
        <f t="shared" si="39"/>
        <v>-0.14051839464882943</v>
      </c>
      <c r="AN15" s="98">
        <v>2409.06</v>
      </c>
      <c r="AO15" s="98">
        <v>1911.78</v>
      </c>
      <c r="AP15" s="125">
        <f t="shared" si="40"/>
        <v>0.5717330019482645</v>
      </c>
      <c r="AQ15" s="125">
        <f t="shared" si="41"/>
        <v>-0.057635381720445134</v>
      </c>
      <c r="AR15" s="133" t="e">
        <f>(#REF!-#REF!)/#REF!</f>
        <v>#REF!</v>
      </c>
      <c r="AS15" s="133" t="e">
        <f>#REF!/#REF!</f>
        <v>#REF!</v>
      </c>
      <c r="AT15" s="133"/>
      <c r="AU15" s="133" t="e">
        <f>(#REF!-#REF!)/#REF!</f>
        <v>#REF!</v>
      </c>
      <c r="AV15" s="133" t="e">
        <f>#REF!/#REF!</f>
        <v>#REF!</v>
      </c>
      <c r="AW15" s="133" t="e">
        <f>(#REF!-#REF!)/#REF!</f>
        <v>#REF!</v>
      </c>
      <c r="AX15" s="98">
        <v>2070.92</v>
      </c>
      <c r="AY15" s="98">
        <v>2057.98</v>
      </c>
      <c r="AZ15" s="98"/>
      <c r="BA15" s="146">
        <f t="shared" si="20"/>
        <v>1.0832417956040967</v>
      </c>
      <c r="BB15" s="145">
        <f t="shared" si="21"/>
        <v>-0.006248430649180126</v>
      </c>
    </row>
    <row r="16" spans="1:54" s="71" customFormat="1" ht="33.75" customHeight="1">
      <c r="A16" s="99" t="s">
        <v>52</v>
      </c>
      <c r="B16" s="96"/>
      <c r="C16" s="96"/>
      <c r="D16" s="100">
        <v>0</v>
      </c>
      <c r="E16" s="100">
        <v>0</v>
      </c>
      <c r="F16" s="97">
        <v>7</v>
      </c>
      <c r="G16" s="97">
        <v>8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33">
        <f t="shared" si="32"/>
        <v>-1</v>
      </c>
      <c r="R16" s="133">
        <f aca="true" t="shared" si="42" ref="R16:R20">H16/G16</f>
        <v>0</v>
      </c>
      <c r="S16" s="133" t="e">
        <f aca="true" t="shared" si="43" ref="S16:S20">(I16-H16)/H16</f>
        <v>#DIV/0!</v>
      </c>
      <c r="T16" s="102"/>
      <c r="U16" s="102"/>
      <c r="V16" s="102"/>
      <c r="W16" s="98">
        <v>0</v>
      </c>
      <c r="X16" s="98">
        <v>0</v>
      </c>
      <c r="Y16" s="98"/>
      <c r="Z16" s="98">
        <v>0</v>
      </c>
      <c r="AA16" s="98">
        <v>0</v>
      </c>
      <c r="AB16" s="151" t="s">
        <v>53</v>
      </c>
      <c r="AC16" s="97"/>
      <c r="AD16" s="148"/>
      <c r="AE16" s="97">
        <v>240</v>
      </c>
      <c r="AF16" s="97">
        <v>45</v>
      </c>
      <c r="AG16" s="97">
        <v>51</v>
      </c>
      <c r="AH16" s="97">
        <v>54</v>
      </c>
      <c r="AI16" s="98">
        <v>106</v>
      </c>
      <c r="AJ16" s="98">
        <v>111.08</v>
      </c>
      <c r="AK16" s="98">
        <v>579.77</v>
      </c>
      <c r="AL16" s="98">
        <v>253.31</v>
      </c>
      <c r="AM16" s="125">
        <f t="shared" si="39"/>
        <v>4.469528301886792</v>
      </c>
      <c r="AN16" s="98">
        <v>110.73</v>
      </c>
      <c r="AO16" s="98">
        <v>177.89</v>
      </c>
      <c r="AP16" s="125">
        <f t="shared" si="40"/>
        <v>5.219391429600288</v>
      </c>
      <c r="AQ16" s="125">
        <f t="shared" si="41"/>
        <v>-0.5630853614364317</v>
      </c>
      <c r="AR16" s="133" t="e">
        <f>(#REF!-#REF!)/#REF!</f>
        <v>#REF!</v>
      </c>
      <c r="AS16" s="133" t="e">
        <f>#REF!/#REF!</f>
        <v>#REF!</v>
      </c>
      <c r="AT16" s="133" t="e">
        <f>(#REF!-#REF!)/#REF!</f>
        <v>#REF!</v>
      </c>
      <c r="AU16" s="133" t="e">
        <f>(#REF!-#REF!)/#REF!</f>
        <v>#REF!</v>
      </c>
      <c r="AV16" s="133" t="e">
        <f>#REF!/#REF!</f>
        <v>#REF!</v>
      </c>
      <c r="AW16" s="133" t="e">
        <f>(#REF!-#REF!)/#REF!</f>
        <v>#REF!</v>
      </c>
      <c r="AX16" s="98">
        <v>1773.94</v>
      </c>
      <c r="AY16" s="98">
        <v>6239.28</v>
      </c>
      <c r="AZ16" s="98"/>
      <c r="BA16" s="146">
        <f t="shared" si="20"/>
        <v>9.972117600764518</v>
      </c>
      <c r="BB16" s="145">
        <f t="shared" si="21"/>
        <v>2.51718772901</v>
      </c>
    </row>
    <row r="17" spans="1:54" s="71" customFormat="1" ht="33.75" customHeight="1">
      <c r="A17" s="101"/>
      <c r="B17" s="102"/>
      <c r="C17" s="102"/>
      <c r="D17" s="102"/>
      <c r="E17" s="102"/>
      <c r="F17" s="102"/>
      <c r="G17" s="102"/>
      <c r="H17" s="103"/>
      <c r="I17" s="103"/>
      <c r="J17" s="103"/>
      <c r="K17" s="103"/>
      <c r="L17" s="125"/>
      <c r="M17" s="98"/>
      <c r="N17" s="98"/>
      <c r="O17" s="125"/>
      <c r="P17" s="125"/>
      <c r="Q17" s="133"/>
      <c r="R17" s="133"/>
      <c r="S17" s="133"/>
      <c r="T17" s="100">
        <v>0</v>
      </c>
      <c r="U17" s="100">
        <v>0</v>
      </c>
      <c r="V17" s="133">
        <f t="shared" si="38"/>
        <v>0.14285714285714285</v>
      </c>
      <c r="W17" s="98"/>
      <c r="X17" s="98"/>
      <c r="Y17" s="98"/>
      <c r="Z17" s="142"/>
      <c r="AA17" s="143"/>
      <c r="AB17" s="151" t="s">
        <v>54</v>
      </c>
      <c r="AC17" s="97"/>
      <c r="AD17" s="148"/>
      <c r="AE17" s="97">
        <v>60</v>
      </c>
      <c r="AF17" s="97">
        <v>63</v>
      </c>
      <c r="AG17" s="97">
        <v>76</v>
      </c>
      <c r="AH17" s="97">
        <v>61</v>
      </c>
      <c r="AI17" s="98">
        <v>225</v>
      </c>
      <c r="AJ17" s="98">
        <v>271.96</v>
      </c>
      <c r="AK17" s="98">
        <v>204.47</v>
      </c>
      <c r="AL17" s="98">
        <v>258.65</v>
      </c>
      <c r="AM17" s="125">
        <f t="shared" si="39"/>
        <v>-0.09124444444444446</v>
      </c>
      <c r="AN17" s="98">
        <v>214.6</v>
      </c>
      <c r="AO17" s="98">
        <v>72.72</v>
      </c>
      <c r="AP17" s="125">
        <f t="shared" si="40"/>
        <v>0.7518385056625975</v>
      </c>
      <c r="AQ17" s="125">
        <f t="shared" si="41"/>
        <v>0.2649777473467989</v>
      </c>
      <c r="AR17" s="133" t="e">
        <f>(#REF!-#REF!)/#REF!</f>
        <v>#REF!</v>
      </c>
      <c r="AS17" s="133" t="e">
        <f>#REF!/#REF!</f>
        <v>#REF!</v>
      </c>
      <c r="AT17" s="133" t="e">
        <f>(#REF!-#REF!)/#REF!</f>
        <v>#REF!</v>
      </c>
      <c r="AU17" s="133" t="e">
        <f>(#REF!-#REF!)/#REF!</f>
        <v>#REF!</v>
      </c>
      <c r="AV17" s="133" t="e">
        <f>#REF!/#REF!</f>
        <v>#REF!</v>
      </c>
      <c r="AW17" s="133" t="e">
        <f>(#REF!-#REF!)/#REF!</f>
        <v>#REF!</v>
      </c>
      <c r="AX17" s="98">
        <v>37.89</v>
      </c>
      <c r="AY17" s="98">
        <v>5035.61</v>
      </c>
      <c r="AZ17" s="98"/>
      <c r="BA17" s="146">
        <f t="shared" si="20"/>
        <v>0.5210396039603961</v>
      </c>
      <c r="BB17" s="145">
        <f t="shared" si="21"/>
        <v>131.90076537344945</v>
      </c>
    </row>
    <row r="18" spans="1:54" s="71" customFormat="1" ht="33.75" customHeight="1">
      <c r="A18" s="99" t="s">
        <v>55</v>
      </c>
      <c r="B18" s="96" t="e">
        <f>#REF!-#REF!</f>
        <v>#REF!</v>
      </c>
      <c r="C18" s="96" t="e">
        <f>#REF!-#REF!</f>
        <v>#REF!</v>
      </c>
      <c r="D18" s="97">
        <v>1180</v>
      </c>
      <c r="E18" s="97">
        <v>1260</v>
      </c>
      <c r="F18" s="97">
        <v>1313</v>
      </c>
      <c r="G18" s="97">
        <v>1200</v>
      </c>
      <c r="H18" s="98">
        <v>50</v>
      </c>
      <c r="I18" s="94">
        <v>0</v>
      </c>
      <c r="J18" s="98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33">
        <f aca="true" t="shared" si="44" ref="Q18:Q22">(H18-F18)/F18</f>
        <v>-0.9619192688499619</v>
      </c>
      <c r="R18" s="133">
        <f t="shared" si="42"/>
        <v>0.041666666666666664</v>
      </c>
      <c r="S18" s="133">
        <f t="shared" si="43"/>
        <v>-1</v>
      </c>
      <c r="T18" s="102"/>
      <c r="U18" s="102"/>
      <c r="V18" s="102"/>
      <c r="W18" s="98">
        <v>0</v>
      </c>
      <c r="X18" s="98">
        <v>0</v>
      </c>
      <c r="Y18" s="98"/>
      <c r="Z18" s="98">
        <v>0</v>
      </c>
      <c r="AA18" s="98">
        <v>0</v>
      </c>
      <c r="AB18" s="151" t="s">
        <v>56</v>
      </c>
      <c r="AC18" s="97"/>
      <c r="AD18" s="148"/>
      <c r="AE18" s="97">
        <v>52</v>
      </c>
      <c r="AF18" s="97">
        <v>101</v>
      </c>
      <c r="AG18" s="97">
        <v>113</v>
      </c>
      <c r="AH18" s="97">
        <v>127</v>
      </c>
      <c r="AI18" s="98">
        <v>282</v>
      </c>
      <c r="AJ18" s="98">
        <v>16.09</v>
      </c>
      <c r="AK18" s="98">
        <v>100.24</v>
      </c>
      <c r="AL18" s="98">
        <v>6.33</v>
      </c>
      <c r="AM18" s="125">
        <f t="shared" si="39"/>
        <v>-0.6445390070921986</v>
      </c>
      <c r="AN18" s="98">
        <v>456.31</v>
      </c>
      <c r="AO18" s="98">
        <v>6.6</v>
      </c>
      <c r="AP18" s="98">
        <f t="shared" si="40"/>
        <v>6.229956494717215</v>
      </c>
      <c r="AQ18" s="98">
        <f t="shared" si="41"/>
        <v>-0.9368515562649641</v>
      </c>
      <c r="AR18" s="98">
        <f>(AI16-AG16)/AG16</f>
        <v>1.0784313725490196</v>
      </c>
      <c r="AS18" s="98">
        <f>AI16/AH16</f>
        <v>1.962962962962963</v>
      </c>
      <c r="AT18" s="98">
        <f>(AJ16-AI16)/AI16</f>
        <v>0.047924528301886773</v>
      </c>
      <c r="AU18" s="98">
        <f>(AG16-AE16)/AE16</f>
        <v>-0.7875</v>
      </c>
      <c r="AV18" s="98">
        <f>AG16/AF16</f>
        <v>1.1333333333333333</v>
      </c>
      <c r="AW18" s="98">
        <f>(AH16-AG16)/AG16</f>
        <v>0.058823529411764705</v>
      </c>
      <c r="AX18" s="98">
        <v>8.52</v>
      </c>
      <c r="AY18" s="98">
        <v>44.35</v>
      </c>
      <c r="AZ18" s="98"/>
      <c r="BA18" s="146">
        <f t="shared" si="20"/>
        <v>1.290909090909091</v>
      </c>
      <c r="BB18" s="145">
        <f t="shared" si="21"/>
        <v>4.205399061032864</v>
      </c>
    </row>
    <row r="19" spans="1:54" s="71" customFormat="1" ht="33.75" customHeight="1">
      <c r="A19" s="99"/>
      <c r="B19" s="96"/>
      <c r="C19" s="96"/>
      <c r="D19" s="104"/>
      <c r="E19" s="97"/>
      <c r="F19" s="97"/>
      <c r="G19" s="97"/>
      <c r="H19" s="98"/>
      <c r="I19" s="98"/>
      <c r="J19" s="98"/>
      <c r="K19" s="98"/>
      <c r="L19" s="125"/>
      <c r="M19" s="98"/>
      <c r="N19" s="98"/>
      <c r="O19" s="125"/>
      <c r="P19" s="125"/>
      <c r="Q19" s="133"/>
      <c r="R19" s="133"/>
      <c r="S19" s="133"/>
      <c r="T19" s="133">
        <f t="shared" si="36"/>
        <v>0.11271186440677966</v>
      </c>
      <c r="U19" s="133">
        <f t="shared" si="37"/>
        <v>1.0420634920634921</v>
      </c>
      <c r="V19" s="133">
        <f t="shared" si="38"/>
        <v>-0.08606245239908607</v>
      </c>
      <c r="W19" s="98"/>
      <c r="X19" s="98"/>
      <c r="Y19" s="98"/>
      <c r="Z19" s="142"/>
      <c r="AA19" s="143"/>
      <c r="AB19" s="147" t="s">
        <v>57</v>
      </c>
      <c r="AC19" s="97"/>
      <c r="AD19" s="148"/>
      <c r="AE19" s="97">
        <v>112</v>
      </c>
      <c r="AF19" s="97">
        <v>101</v>
      </c>
      <c r="AG19" s="97">
        <v>240</v>
      </c>
      <c r="AH19" s="97">
        <v>163</v>
      </c>
      <c r="AI19" s="98">
        <v>150</v>
      </c>
      <c r="AJ19" s="98">
        <v>393.65</v>
      </c>
      <c r="AK19" s="98">
        <v>215.37</v>
      </c>
      <c r="AL19" s="98">
        <v>351.3</v>
      </c>
      <c r="AM19" s="125">
        <f t="shared" si="39"/>
        <v>0.43579999999999997</v>
      </c>
      <c r="AN19" s="98">
        <v>186.36</v>
      </c>
      <c r="AO19" s="98">
        <v>446.24</v>
      </c>
      <c r="AP19" s="98">
        <f t="shared" si="40"/>
        <v>0.5471103772386638</v>
      </c>
      <c r="AQ19" s="98">
        <f t="shared" si="41"/>
        <v>0.6311463992199471</v>
      </c>
      <c r="AR19" s="98">
        <f>(AI17-AG17)/AG17</f>
        <v>1.9605263157894737</v>
      </c>
      <c r="AS19" s="98">
        <f>AI17/AH17</f>
        <v>3.6885245901639343</v>
      </c>
      <c r="AT19" s="98">
        <f>(AJ17-AI17)/AI17</f>
        <v>0.20871111111111101</v>
      </c>
      <c r="AU19" s="98">
        <f>(AG17-AE17)/AE17</f>
        <v>0.26666666666666666</v>
      </c>
      <c r="AV19" s="98">
        <f>AG17/AF17</f>
        <v>1.2063492063492063</v>
      </c>
      <c r="AW19" s="98">
        <f>(AH17-AG17)/AG17</f>
        <v>-0.19736842105263158</v>
      </c>
      <c r="AX19" s="98">
        <v>153.11</v>
      </c>
      <c r="AY19" s="98">
        <v>888.41</v>
      </c>
      <c r="AZ19" s="98"/>
      <c r="BA19" s="146">
        <f t="shared" si="20"/>
        <v>0.3431113302258874</v>
      </c>
      <c r="BB19" s="145">
        <f t="shared" si="21"/>
        <v>4.802429625759257</v>
      </c>
    </row>
    <row r="20" spans="1:54" s="71" customFormat="1" ht="33.75" customHeight="1">
      <c r="A20" s="99" t="s">
        <v>58</v>
      </c>
      <c r="B20" s="96"/>
      <c r="C20" s="96"/>
      <c r="D20" s="97">
        <v>47</v>
      </c>
      <c r="E20" s="97">
        <v>54</v>
      </c>
      <c r="F20" s="97">
        <v>2299</v>
      </c>
      <c r="G20" s="97">
        <v>142</v>
      </c>
      <c r="H20" s="98">
        <v>4335</v>
      </c>
      <c r="I20" s="98">
        <v>6234</v>
      </c>
      <c r="J20" s="98">
        <v>3295.72</v>
      </c>
      <c r="K20" s="98">
        <v>3027.09</v>
      </c>
      <c r="L20" s="125">
        <f aca="true" t="shared" si="45" ref="L20:L26">J20/H20-1</f>
        <v>-0.2397416378316033</v>
      </c>
      <c r="M20" s="98">
        <v>1906.48</v>
      </c>
      <c r="N20" s="98">
        <v>280</v>
      </c>
      <c r="O20" s="125">
        <f aca="true" t="shared" si="46" ref="O20:O26">J20/I20</f>
        <v>0.5286685915944819</v>
      </c>
      <c r="P20" s="125">
        <f aca="true" t="shared" si="47" ref="P20:P26">K20/J20-1</f>
        <v>-0.08150874467491165</v>
      </c>
      <c r="Q20" s="133">
        <f t="shared" si="44"/>
        <v>0.8856024358416703</v>
      </c>
      <c r="R20" s="133">
        <f t="shared" si="42"/>
        <v>30.528169014084508</v>
      </c>
      <c r="S20" s="133">
        <f t="shared" si="43"/>
        <v>0.4380622837370242</v>
      </c>
      <c r="T20" s="133"/>
      <c r="U20" s="133"/>
      <c r="V20" s="133"/>
      <c r="W20" s="98">
        <v>115.53</v>
      </c>
      <c r="X20" s="98">
        <v>520</v>
      </c>
      <c r="Y20" s="98"/>
      <c r="Z20" s="145">
        <f aca="true" t="shared" si="48" ref="Z20:Z26">W20/N20</f>
        <v>0.41260714285714284</v>
      </c>
      <c r="AA20" s="146">
        <f t="shared" si="24"/>
        <v>3.5009954124469838</v>
      </c>
      <c r="AB20" s="149" t="s">
        <v>59</v>
      </c>
      <c r="AC20" s="102"/>
      <c r="AD20" s="102"/>
      <c r="AE20" s="100">
        <v>0</v>
      </c>
      <c r="AF20" s="97">
        <v>1170</v>
      </c>
      <c r="AG20" s="100">
        <v>0</v>
      </c>
      <c r="AH20" s="97">
        <v>1900</v>
      </c>
      <c r="AI20" s="98">
        <v>0</v>
      </c>
      <c r="AJ20" s="98">
        <v>1000</v>
      </c>
      <c r="AK20" s="98">
        <v>0</v>
      </c>
      <c r="AL20" s="98">
        <v>1000</v>
      </c>
      <c r="AM20" s="98">
        <v>0</v>
      </c>
      <c r="AN20" s="98">
        <v>22</v>
      </c>
      <c r="AO20" s="98">
        <v>760</v>
      </c>
      <c r="AP20" s="98">
        <v>0</v>
      </c>
      <c r="AQ20" s="98">
        <v>0</v>
      </c>
      <c r="AR20" s="98">
        <f>(AI19-AG19)/AG19</f>
        <v>-0.375</v>
      </c>
      <c r="AS20" s="98">
        <f>AI19/AH19</f>
        <v>0.9202453987730062</v>
      </c>
      <c r="AT20" s="98">
        <f>(AJ19-AI19)/AI19</f>
        <v>1.6243333333333332</v>
      </c>
      <c r="AU20" s="98">
        <f>(AG19-AE19)/AE19</f>
        <v>1.1428571428571428</v>
      </c>
      <c r="AV20" s="98">
        <f>AG19/AF19</f>
        <v>2.376237623762376</v>
      </c>
      <c r="AW20" s="98">
        <f>(AH19-AG19)/AG19</f>
        <v>-0.32083333333333336</v>
      </c>
      <c r="AX20" s="98">
        <v>0</v>
      </c>
      <c r="AY20" s="98">
        <v>1200</v>
      </c>
      <c r="AZ20" s="98"/>
      <c r="BA20" s="146">
        <f t="shared" si="20"/>
        <v>0</v>
      </c>
      <c r="BB20" s="98">
        <v>0</v>
      </c>
    </row>
    <row r="21" spans="1:54" s="71" customFormat="1" ht="33.75" customHeight="1">
      <c r="A21" s="101"/>
      <c r="B21" s="102"/>
      <c r="C21" s="102"/>
      <c r="D21" s="102"/>
      <c r="E21" s="102"/>
      <c r="F21" s="102"/>
      <c r="G21" s="102"/>
      <c r="H21" s="103"/>
      <c r="I21" s="103"/>
      <c r="J21" s="103"/>
      <c r="K21" s="103"/>
      <c r="L21" s="125"/>
      <c r="M21" s="98"/>
      <c r="N21" s="98"/>
      <c r="O21" s="125"/>
      <c r="P21" s="125"/>
      <c r="Q21" s="133"/>
      <c r="R21" s="133"/>
      <c r="S21" s="133"/>
      <c r="T21" s="133">
        <f aca="true" t="shared" si="49" ref="T21:T27">(F20-D20)/D20</f>
        <v>47.91489361702128</v>
      </c>
      <c r="U21" s="133">
        <f aca="true" t="shared" si="50" ref="U21:U27">F20/E20</f>
        <v>42.574074074074076</v>
      </c>
      <c r="V21" s="133">
        <f aca="true" t="shared" si="51" ref="V21:V27">(G20-F20)/F20</f>
        <v>-0.9382340147890387</v>
      </c>
      <c r="W21" s="98"/>
      <c r="X21" s="98"/>
      <c r="Y21" s="98"/>
      <c r="Z21" s="145"/>
      <c r="AA21" s="146"/>
      <c r="AB21" s="150" t="s">
        <v>60</v>
      </c>
      <c r="AC21" s="97"/>
      <c r="AD21" s="148"/>
      <c r="AE21" s="100">
        <v>0</v>
      </c>
      <c r="AF21" s="100">
        <v>0</v>
      </c>
      <c r="AG21" s="97">
        <v>200</v>
      </c>
      <c r="AH21" s="97">
        <v>50</v>
      </c>
      <c r="AI21" s="98">
        <v>11</v>
      </c>
      <c r="AJ21" s="98">
        <v>11.4</v>
      </c>
      <c r="AK21" s="98">
        <v>0.68</v>
      </c>
      <c r="AL21" s="98">
        <v>3.94</v>
      </c>
      <c r="AM21" s="125">
        <f aca="true" t="shared" si="52" ref="AM21:AM23">AK21/AI21-1</f>
        <v>-0.9381818181818182</v>
      </c>
      <c r="AN21" s="98">
        <v>400.78</v>
      </c>
      <c r="AO21" s="98">
        <v>2.66</v>
      </c>
      <c r="AP21" s="98">
        <f aca="true" t="shared" si="53" ref="AP21:AP23">AK21/AJ21</f>
        <v>0.05964912280701755</v>
      </c>
      <c r="AQ21" s="98">
        <f aca="true" t="shared" si="54" ref="AQ21:AQ23">AL21/AK21-1</f>
        <v>4.794117647058823</v>
      </c>
      <c r="AR21" s="98">
        <v>0</v>
      </c>
      <c r="AS21" s="98" t="e">
        <f>0/#REF!</f>
        <v>#REF!</v>
      </c>
      <c r="AT21" s="98">
        <v>0</v>
      </c>
      <c r="AU21" s="98" t="e">
        <f>0/#REF!</f>
        <v>#REF!</v>
      </c>
      <c r="AV21" s="98" t="e">
        <f>0/AR21</f>
        <v>#DIV/0!</v>
      </c>
      <c r="AW21" s="98" t="e">
        <f>0/AS21</f>
        <v>#REF!</v>
      </c>
      <c r="AX21" s="98">
        <v>1.55</v>
      </c>
      <c r="AY21" s="98">
        <v>2.41</v>
      </c>
      <c r="AZ21" s="98"/>
      <c r="BA21" s="146">
        <f t="shared" si="20"/>
        <v>0.5827067669172932</v>
      </c>
      <c r="BB21" s="145">
        <f t="shared" si="21"/>
        <v>0.5548387096774194</v>
      </c>
    </row>
    <row r="22" spans="1:54" s="71" customFormat="1" ht="33.75" customHeight="1">
      <c r="A22" s="99" t="s">
        <v>61</v>
      </c>
      <c r="B22" s="96"/>
      <c r="C22" s="96"/>
      <c r="D22" s="97">
        <v>47</v>
      </c>
      <c r="E22" s="97">
        <v>1000</v>
      </c>
      <c r="F22" s="97">
        <v>85</v>
      </c>
      <c r="G22" s="97">
        <v>304</v>
      </c>
      <c r="H22" s="98">
        <v>3739</v>
      </c>
      <c r="I22" s="98">
        <v>3970.05</v>
      </c>
      <c r="J22" s="98">
        <v>4114.12</v>
      </c>
      <c r="K22" s="98">
        <v>4442.2</v>
      </c>
      <c r="L22" s="125">
        <f t="shared" si="45"/>
        <v>0.10032629045199237</v>
      </c>
      <c r="M22" s="98">
        <v>4027.45</v>
      </c>
      <c r="N22" s="98">
        <v>4605.5</v>
      </c>
      <c r="O22" s="125">
        <f t="shared" si="46"/>
        <v>1.0362892155010641</v>
      </c>
      <c r="P22" s="125">
        <f t="shared" si="47"/>
        <v>0.07974487861316626</v>
      </c>
      <c r="Q22" s="133">
        <f t="shared" si="44"/>
        <v>42.98823529411764</v>
      </c>
      <c r="R22" s="133">
        <f aca="true" t="shared" si="55" ref="R22:R26">H22/G22</f>
        <v>12.299342105263158</v>
      </c>
      <c r="S22" s="133">
        <f aca="true" t="shared" si="56" ref="S22:S26">(I22-H22)/H22</f>
        <v>0.06179459748595886</v>
      </c>
      <c r="T22" s="102"/>
      <c r="U22" s="102"/>
      <c r="V22" s="102"/>
      <c r="W22" s="98">
        <v>3881.99</v>
      </c>
      <c r="X22" s="98">
        <v>5647.7</v>
      </c>
      <c r="Y22" s="98"/>
      <c r="Z22" s="145">
        <f t="shared" si="48"/>
        <v>0.8429030507002496</v>
      </c>
      <c r="AA22" s="146">
        <f t="shared" si="24"/>
        <v>0.454846612175714</v>
      </c>
      <c r="AB22" s="150" t="s">
        <v>62</v>
      </c>
      <c r="AC22" s="97"/>
      <c r="AD22" s="148"/>
      <c r="AE22" s="100">
        <v>0</v>
      </c>
      <c r="AF22" s="100">
        <v>0</v>
      </c>
      <c r="AG22" s="100">
        <v>0</v>
      </c>
      <c r="AH22" s="97">
        <v>2</v>
      </c>
      <c r="AI22" s="98">
        <v>307</v>
      </c>
      <c r="AJ22" s="98">
        <v>1061.31</v>
      </c>
      <c r="AK22" s="98">
        <v>341.5</v>
      </c>
      <c r="AL22" s="98">
        <v>1688.91</v>
      </c>
      <c r="AM22" s="125">
        <f t="shared" si="52"/>
        <v>0.1123778501628665</v>
      </c>
      <c r="AN22" s="98">
        <v>303.03</v>
      </c>
      <c r="AO22" s="98">
        <v>1323.16</v>
      </c>
      <c r="AP22" s="98">
        <f t="shared" si="53"/>
        <v>0.3217721495133373</v>
      </c>
      <c r="AQ22" s="98">
        <f t="shared" si="54"/>
        <v>3.9455636896046853</v>
      </c>
      <c r="AR22" s="98">
        <v>0</v>
      </c>
      <c r="AS22" s="98">
        <f>0/AH20</f>
        <v>0</v>
      </c>
      <c r="AT22" s="98">
        <v>0</v>
      </c>
      <c r="AU22" s="98">
        <f>0/AJ20</f>
        <v>0</v>
      </c>
      <c r="AV22" s="98" t="e">
        <f>0/AR22</f>
        <v>#DIV/0!</v>
      </c>
      <c r="AW22" s="98" t="e">
        <f>0/AS22</f>
        <v>#DIV/0!</v>
      </c>
      <c r="AX22" s="98">
        <v>423.28</v>
      </c>
      <c r="AY22" s="98">
        <v>434.09</v>
      </c>
      <c r="AZ22" s="98"/>
      <c r="BA22" s="146">
        <f t="shared" si="20"/>
        <v>0.31990084343541214</v>
      </c>
      <c r="BB22" s="145">
        <f t="shared" si="21"/>
        <v>0.025538650538650565</v>
      </c>
    </row>
    <row r="23" spans="1:54" s="71" customFormat="1" ht="33.75" customHeight="1">
      <c r="A23" s="105"/>
      <c r="B23" s="102"/>
      <c r="C23" s="102"/>
      <c r="D23" s="102"/>
      <c r="E23" s="102"/>
      <c r="F23" s="102"/>
      <c r="G23" s="102"/>
      <c r="H23" s="103"/>
      <c r="I23" s="103"/>
      <c r="J23" s="103"/>
      <c r="K23" s="103"/>
      <c r="L23" s="124"/>
      <c r="M23" s="94"/>
      <c r="N23" s="94"/>
      <c r="O23" s="124"/>
      <c r="P23" s="124"/>
      <c r="Q23" s="133"/>
      <c r="R23" s="133"/>
      <c r="S23" s="133"/>
      <c r="T23" s="133"/>
      <c r="U23" s="133"/>
      <c r="V23" s="133"/>
      <c r="W23" s="134"/>
      <c r="X23" s="98"/>
      <c r="Y23" s="98"/>
      <c r="Z23" s="142"/>
      <c r="AA23" s="143"/>
      <c r="AB23" s="151" t="s">
        <v>63</v>
      </c>
      <c r="AC23" s="97"/>
      <c r="AD23" s="148"/>
      <c r="AE23" s="97">
        <v>895</v>
      </c>
      <c r="AF23" s="97">
        <v>385</v>
      </c>
      <c r="AG23" s="97">
        <v>491</v>
      </c>
      <c r="AH23" s="97">
        <v>213</v>
      </c>
      <c r="AI23" s="98">
        <v>303</v>
      </c>
      <c r="AJ23" s="98">
        <v>581.31</v>
      </c>
      <c r="AK23" s="98">
        <v>623.33</v>
      </c>
      <c r="AL23" s="98">
        <v>650</v>
      </c>
      <c r="AM23" s="125">
        <f t="shared" si="52"/>
        <v>1.0571947194719473</v>
      </c>
      <c r="AN23" s="98">
        <v>925.07</v>
      </c>
      <c r="AO23" s="98">
        <v>670</v>
      </c>
      <c r="AP23" s="98">
        <f t="shared" si="53"/>
        <v>1.0722850114396796</v>
      </c>
      <c r="AQ23" s="98">
        <f t="shared" si="54"/>
        <v>0.04278632506056179</v>
      </c>
      <c r="AR23" s="98">
        <v>0</v>
      </c>
      <c r="AS23" s="98">
        <f>AI22/AH22</f>
        <v>153.5</v>
      </c>
      <c r="AT23" s="98">
        <f>(AJ22-AI22)/AI22</f>
        <v>2.457035830618892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/>
      <c r="BA23" s="146">
        <f t="shared" si="20"/>
        <v>0</v>
      </c>
      <c r="BB23" s="98">
        <v>0</v>
      </c>
    </row>
    <row r="24" spans="1:54" s="71" customFormat="1" ht="33.75" customHeight="1">
      <c r="A24" s="106" t="s">
        <v>64</v>
      </c>
      <c r="B24" s="93" t="e">
        <f>#REF!-#REF!</f>
        <v>#REF!</v>
      </c>
      <c r="C24" s="93" t="e">
        <f>#REF!-#REF!</f>
        <v>#REF!</v>
      </c>
      <c r="D24" s="93">
        <f aca="true" t="shared" si="57" ref="D24:G24">SUM(D25:D26)</f>
        <v>6803</v>
      </c>
      <c r="E24" s="93">
        <f t="shared" si="57"/>
        <v>3261</v>
      </c>
      <c r="F24" s="93">
        <f t="shared" si="57"/>
        <v>2461</v>
      </c>
      <c r="G24" s="93">
        <f t="shared" si="57"/>
        <v>8583</v>
      </c>
      <c r="H24" s="94">
        <f aca="true" t="shared" si="58" ref="H24:J24">H25+H26</f>
        <v>8336</v>
      </c>
      <c r="I24" s="94">
        <f t="shared" si="58"/>
        <v>10082.5933</v>
      </c>
      <c r="J24" s="94">
        <f t="shared" si="58"/>
        <v>8209.5</v>
      </c>
      <c r="K24" s="94">
        <v>13622.31</v>
      </c>
      <c r="L24" s="124">
        <f t="shared" si="45"/>
        <v>-0.015175143953934711</v>
      </c>
      <c r="M24" s="94">
        <v>14088.47</v>
      </c>
      <c r="N24" s="94">
        <v>13655.79</v>
      </c>
      <c r="O24" s="124">
        <f t="shared" si="46"/>
        <v>0.8142250466454894</v>
      </c>
      <c r="P24" s="124">
        <f t="shared" si="47"/>
        <v>0.6593349168646081</v>
      </c>
      <c r="Q24" s="133">
        <f aca="true" t="shared" si="59" ref="Q24:Q26">(H24-F24)/F24</f>
        <v>2.3872409589597723</v>
      </c>
      <c r="R24" s="133">
        <f t="shared" si="55"/>
        <v>0.9712221833857626</v>
      </c>
      <c r="S24" s="133">
        <f t="shared" si="56"/>
        <v>0.20952414827255283</v>
      </c>
      <c r="T24" s="133"/>
      <c r="U24" s="133"/>
      <c r="V24" s="133"/>
      <c r="W24" s="94">
        <f>W25+W26</f>
        <v>24368.64</v>
      </c>
      <c r="X24" s="94">
        <f>X25+X26</f>
        <v>12146.61</v>
      </c>
      <c r="Y24" s="94">
        <f>X24-W24</f>
        <v>-12222.029999999999</v>
      </c>
      <c r="Z24" s="142">
        <f t="shared" si="48"/>
        <v>1.7844914135322818</v>
      </c>
      <c r="AA24" s="143">
        <f t="shared" si="24"/>
        <v>-0.5015474806965017</v>
      </c>
      <c r="AB24" s="151" t="s">
        <v>65</v>
      </c>
      <c r="AC24" s="97"/>
      <c r="AD24" s="148"/>
      <c r="AE24" s="97"/>
      <c r="AF24" s="97"/>
      <c r="AG24" s="97"/>
      <c r="AH24" s="97"/>
      <c r="AI24" s="98"/>
      <c r="AJ24" s="98"/>
      <c r="AK24" s="98"/>
      <c r="AL24" s="98"/>
      <c r="AM24" s="125"/>
      <c r="AN24" s="98"/>
      <c r="AO24" s="98">
        <v>0</v>
      </c>
      <c r="AP24" s="98"/>
      <c r="AQ24" s="98"/>
      <c r="AR24" s="98"/>
      <c r="AS24" s="98"/>
      <c r="AT24" s="98"/>
      <c r="AU24" s="98"/>
      <c r="AV24" s="98"/>
      <c r="AW24" s="98"/>
      <c r="AX24" s="98">
        <v>415</v>
      </c>
      <c r="AY24" s="98">
        <v>0</v>
      </c>
      <c r="AZ24" s="98"/>
      <c r="BA24" s="146">
        <v>1</v>
      </c>
      <c r="BB24" s="98">
        <v>0</v>
      </c>
    </row>
    <row r="25" spans="1:54" s="71" customFormat="1" ht="33.75" customHeight="1">
      <c r="A25" s="107" t="s">
        <v>66</v>
      </c>
      <c r="B25" s="96"/>
      <c r="C25" s="96"/>
      <c r="D25" s="97">
        <v>534</v>
      </c>
      <c r="E25" s="97">
        <v>100</v>
      </c>
      <c r="F25" s="97">
        <v>100</v>
      </c>
      <c r="G25" s="97">
        <v>4000</v>
      </c>
      <c r="H25" s="98">
        <v>4246</v>
      </c>
      <c r="I25" s="98">
        <v>3800</v>
      </c>
      <c r="J25" s="98">
        <v>3736</v>
      </c>
      <c r="K25" s="98">
        <v>5510</v>
      </c>
      <c r="L25" s="125">
        <f t="shared" si="45"/>
        <v>-0.1201130475741875</v>
      </c>
      <c r="M25" s="98">
        <v>6151.32</v>
      </c>
      <c r="N25" s="98">
        <v>8307.43</v>
      </c>
      <c r="O25" s="125">
        <f t="shared" si="46"/>
        <v>0.9831578947368421</v>
      </c>
      <c r="P25" s="125">
        <f t="shared" si="47"/>
        <v>0.47483940042826545</v>
      </c>
      <c r="Q25" s="133">
        <f t="shared" si="59"/>
        <v>41.46</v>
      </c>
      <c r="R25" s="133">
        <f t="shared" si="55"/>
        <v>1.0615</v>
      </c>
      <c r="S25" s="133">
        <f t="shared" si="56"/>
        <v>-0.10504003768252473</v>
      </c>
      <c r="T25" s="133">
        <f t="shared" si="49"/>
        <v>-0.6382478318388946</v>
      </c>
      <c r="U25" s="133">
        <f t="shared" si="50"/>
        <v>0.7546764796074824</v>
      </c>
      <c r="V25" s="133">
        <f t="shared" si="51"/>
        <v>2.4876066639577408</v>
      </c>
      <c r="W25" s="98">
        <v>7587.8</v>
      </c>
      <c r="X25" s="98">
        <v>8820.94</v>
      </c>
      <c r="Y25" s="98"/>
      <c r="Z25" s="145">
        <f t="shared" si="48"/>
        <v>0.9133751352704748</v>
      </c>
      <c r="AA25" s="146">
        <f t="shared" si="24"/>
        <v>0.16251614433696204</v>
      </c>
      <c r="AB25" s="151" t="s">
        <v>67</v>
      </c>
      <c r="AC25" s="97"/>
      <c r="AD25" s="148"/>
      <c r="AE25" s="97"/>
      <c r="AF25" s="97"/>
      <c r="AG25" s="97"/>
      <c r="AH25" s="97"/>
      <c r="AI25" s="98"/>
      <c r="AJ25" s="98"/>
      <c r="AK25" s="98"/>
      <c r="AL25" s="98"/>
      <c r="AM25" s="125"/>
      <c r="AN25" s="98"/>
      <c r="AO25" s="98">
        <v>0</v>
      </c>
      <c r="AP25" s="98"/>
      <c r="AQ25" s="98"/>
      <c r="AR25" s="98"/>
      <c r="AS25" s="98"/>
      <c r="AT25" s="98"/>
      <c r="AU25" s="98"/>
      <c r="AV25" s="98"/>
      <c r="AW25" s="98"/>
      <c r="AX25" s="98">
        <v>2.08</v>
      </c>
      <c r="AY25" s="98">
        <v>15</v>
      </c>
      <c r="AZ25" s="98"/>
      <c r="BA25" s="146">
        <v>1</v>
      </c>
      <c r="BB25" s="145">
        <f t="shared" si="21"/>
        <v>6.211538461538462</v>
      </c>
    </row>
    <row r="26" spans="1:54" s="71" customFormat="1" ht="33.75" customHeight="1">
      <c r="A26" s="107" t="s">
        <v>68</v>
      </c>
      <c r="B26" s="96"/>
      <c r="C26" s="96"/>
      <c r="D26" s="97">
        <v>6269</v>
      </c>
      <c r="E26" s="97">
        <v>3161</v>
      </c>
      <c r="F26" s="97">
        <v>2361</v>
      </c>
      <c r="G26" s="97">
        <v>4583</v>
      </c>
      <c r="H26" s="98">
        <v>4090</v>
      </c>
      <c r="I26" s="98">
        <f>51218933/10000+137+100+169+213.6+241.1+300</f>
        <v>6282.5933</v>
      </c>
      <c r="J26" s="98">
        <v>4473.5</v>
      </c>
      <c r="K26" s="98">
        <v>8112.31</v>
      </c>
      <c r="L26" s="125">
        <f t="shared" si="45"/>
        <v>0.09376528117359406</v>
      </c>
      <c r="M26" s="98">
        <v>7937.15</v>
      </c>
      <c r="N26" s="98">
        <v>5348.36</v>
      </c>
      <c r="O26" s="125">
        <f t="shared" si="46"/>
        <v>0.7120467275830189</v>
      </c>
      <c r="P26" s="125">
        <f t="shared" si="47"/>
        <v>0.8134145523639209</v>
      </c>
      <c r="Q26" s="133">
        <f t="shared" si="59"/>
        <v>0.7323168149089369</v>
      </c>
      <c r="R26" s="133">
        <f t="shared" si="55"/>
        <v>0.8924285402574733</v>
      </c>
      <c r="S26" s="133">
        <f t="shared" si="56"/>
        <v>0.5360863814180931</v>
      </c>
      <c r="T26" s="133">
        <f t="shared" si="49"/>
        <v>-0.8127340823970037</v>
      </c>
      <c r="U26" s="133">
        <f t="shared" si="50"/>
        <v>1</v>
      </c>
      <c r="V26" s="133">
        <f t="shared" si="51"/>
        <v>39</v>
      </c>
      <c r="W26" s="98">
        <v>16780.84</v>
      </c>
      <c r="X26" s="98">
        <v>3325.67</v>
      </c>
      <c r="Y26" s="98"/>
      <c r="Z26" s="145">
        <f t="shared" si="48"/>
        <v>3.137567403839682</v>
      </c>
      <c r="AA26" s="146">
        <f t="shared" si="24"/>
        <v>-0.8018174298783612</v>
      </c>
      <c r="AB26" s="151" t="s">
        <v>69</v>
      </c>
      <c r="AC26" s="97"/>
      <c r="AD26" s="148"/>
      <c r="AE26" s="97"/>
      <c r="AF26" s="97"/>
      <c r="AG26" s="97"/>
      <c r="AH26" s="97"/>
      <c r="AI26" s="98"/>
      <c r="AJ26" s="98"/>
      <c r="AK26" s="98"/>
      <c r="AL26" s="98"/>
      <c r="AM26" s="125"/>
      <c r="AN26" s="98"/>
      <c r="AO26" s="98">
        <v>0</v>
      </c>
      <c r="AP26" s="98"/>
      <c r="AQ26" s="98"/>
      <c r="AR26" s="98"/>
      <c r="AS26" s="98"/>
      <c r="AT26" s="98"/>
      <c r="AU26" s="98"/>
      <c r="AV26" s="98"/>
      <c r="AW26" s="98"/>
      <c r="AX26" s="98">
        <v>0.44</v>
      </c>
      <c r="AY26" s="98">
        <v>0</v>
      </c>
      <c r="AZ26" s="98"/>
      <c r="BA26" s="146">
        <v>1</v>
      </c>
      <c r="BB26" s="98">
        <v>0</v>
      </c>
    </row>
    <row r="27" spans="1:54" s="71" customFormat="1" ht="33.75" customHeight="1">
      <c r="A27" s="101"/>
      <c r="B27" s="102"/>
      <c r="C27" s="102"/>
      <c r="D27" s="102"/>
      <c r="E27" s="102"/>
      <c r="F27" s="102"/>
      <c r="G27" s="102"/>
      <c r="H27" s="103"/>
      <c r="I27" s="103"/>
      <c r="J27" s="103"/>
      <c r="K27" s="103"/>
      <c r="L27" s="125"/>
      <c r="M27" s="98"/>
      <c r="N27" s="98"/>
      <c r="O27" s="125"/>
      <c r="P27" s="125"/>
      <c r="Q27" s="133"/>
      <c r="R27" s="133"/>
      <c r="S27" s="133"/>
      <c r="T27" s="133">
        <f t="shared" si="49"/>
        <v>-0.6233849098739831</v>
      </c>
      <c r="U27" s="133">
        <f t="shared" si="50"/>
        <v>0.7469155330591585</v>
      </c>
      <c r="V27" s="133">
        <f t="shared" si="51"/>
        <v>0.941126641253706</v>
      </c>
      <c r="W27" s="134"/>
      <c r="X27" s="134"/>
      <c r="Y27" s="134"/>
      <c r="Z27" s="142"/>
      <c r="AA27" s="143"/>
      <c r="AB27" s="150"/>
      <c r="AC27" s="97"/>
      <c r="AD27" s="148"/>
      <c r="AE27" s="97"/>
      <c r="AF27" s="97"/>
      <c r="AG27" s="97"/>
      <c r="AH27" s="97"/>
      <c r="AI27" s="98"/>
      <c r="AJ27" s="98"/>
      <c r="AK27" s="98"/>
      <c r="AL27" s="98"/>
      <c r="AM27" s="124"/>
      <c r="AN27" s="94"/>
      <c r="AO27" s="94"/>
      <c r="AP27" s="124"/>
      <c r="AQ27" s="124"/>
      <c r="AR27" s="100">
        <v>0</v>
      </c>
      <c r="AS27" s="100">
        <v>0</v>
      </c>
      <c r="AT27" s="133" t="e">
        <f>(#REF!-#REF!)/#REF!</f>
        <v>#REF!</v>
      </c>
      <c r="AU27" s="133" t="e">
        <f>(#REF!-#REF!)/#REF!</f>
        <v>#REF!</v>
      </c>
      <c r="AV27" s="133" t="e">
        <f>#REF!/#REF!</f>
        <v>#REF!</v>
      </c>
      <c r="AW27" s="100">
        <v>0</v>
      </c>
      <c r="AX27" s="134"/>
      <c r="AY27" s="134"/>
      <c r="AZ27" s="134"/>
      <c r="BA27" s="146"/>
      <c r="BB27" s="145"/>
    </row>
    <row r="28" spans="1:54" s="71" customFormat="1" ht="33.75" customHeight="1">
      <c r="A28" s="108" t="s">
        <v>70</v>
      </c>
      <c r="B28" s="109" t="e">
        <f>B29+B30+#REF!+#REF!</f>
        <v>#REF!</v>
      </c>
      <c r="C28" s="109" t="e">
        <f>C29+C30+#REF!+#REF!</f>
        <v>#REF!</v>
      </c>
      <c r="D28" s="109">
        <f aca="true" t="shared" si="60" ref="D28:J28">D29+D30</f>
        <v>8885</v>
      </c>
      <c r="E28" s="109">
        <f t="shared" si="60"/>
        <v>34143</v>
      </c>
      <c r="F28" s="109">
        <f t="shared" si="60"/>
        <v>33481</v>
      </c>
      <c r="G28" s="109">
        <f t="shared" si="60"/>
        <v>20299</v>
      </c>
      <c r="H28" s="94">
        <f t="shared" si="60"/>
        <v>3247</v>
      </c>
      <c r="I28" s="94">
        <f t="shared" si="60"/>
        <v>11164.7276</v>
      </c>
      <c r="J28" s="94">
        <f t="shared" si="60"/>
        <v>3404.62</v>
      </c>
      <c r="K28" s="94">
        <v>8380</v>
      </c>
      <c r="L28" s="124">
        <f aca="true" t="shared" si="61" ref="L28:L30">J28/H28-1</f>
        <v>0.048543270711425945</v>
      </c>
      <c r="M28" s="94">
        <v>2476.42</v>
      </c>
      <c r="N28" s="94">
        <v>5143</v>
      </c>
      <c r="O28" s="124">
        <f aca="true" t="shared" si="62" ref="O28:O30">J28/I28</f>
        <v>0.30494429617790225</v>
      </c>
      <c r="P28" s="124">
        <f aca="true" t="shared" si="63" ref="P28:P30">K28/J28-1</f>
        <v>1.4613613266678809</v>
      </c>
      <c r="Q28" s="133">
        <f aca="true" t="shared" si="64" ref="Q28:Q30">(H28-F28)/F28</f>
        <v>-0.9030196230698008</v>
      </c>
      <c r="R28" s="133">
        <f>H28/G28</f>
        <v>0.1599586186511651</v>
      </c>
      <c r="S28" s="133">
        <f aca="true" t="shared" si="65" ref="S28:S30">(I28-H28)/H28</f>
        <v>2.4384747767169697</v>
      </c>
      <c r="T28" s="133"/>
      <c r="U28" s="133"/>
      <c r="V28" s="133"/>
      <c r="W28" s="94">
        <f>W29+W30</f>
        <v>3342.66</v>
      </c>
      <c r="X28" s="94">
        <f>X29+X30</f>
        <v>8377.65</v>
      </c>
      <c r="Y28" s="94">
        <f>X28-W28</f>
        <v>5034.99</v>
      </c>
      <c r="Z28" s="142">
        <f aca="true" t="shared" si="66" ref="Z28:Z32">W28/N28</f>
        <v>0.6499436126774256</v>
      </c>
      <c r="AA28" s="143">
        <f t="shared" si="24"/>
        <v>1.5062824217838489</v>
      </c>
      <c r="AB28" s="152" t="s">
        <v>71</v>
      </c>
      <c r="AC28" s="144" t="e">
        <f>#REF!-#REF!</f>
        <v>#REF!</v>
      </c>
      <c r="AD28" s="134" t="e">
        <f>#REF!-#REF!</f>
        <v>#REF!</v>
      </c>
      <c r="AE28" s="144">
        <f>SUM(AE29:AE31)</f>
        <v>18070</v>
      </c>
      <c r="AF28" s="144">
        <f aca="true" t="shared" si="67" ref="AF28:AH28">SUM(AF29:AF32)</f>
        <v>27124</v>
      </c>
      <c r="AG28" s="144">
        <f t="shared" si="67"/>
        <v>7313</v>
      </c>
      <c r="AH28" s="144">
        <f t="shared" si="67"/>
        <v>30876</v>
      </c>
      <c r="AI28" s="94" t="e">
        <f>#REF!+#REF!+AI29+#REF!+AI30+AI32+#REF!+AI31</f>
        <v>#REF!</v>
      </c>
      <c r="AJ28" s="94" t="e">
        <f>#REF!+#REF!+AJ29+#REF!+AJ30+AJ32+#REF!+AJ31</f>
        <v>#REF!</v>
      </c>
      <c r="AK28" s="94" t="e">
        <f>#REF!+#REF!+AK29+#REF!+AK30+AK32+#REF!+AK31</f>
        <v>#REF!</v>
      </c>
      <c r="AL28" s="94">
        <v>10063.39</v>
      </c>
      <c r="AM28" s="124" t="e">
        <f aca="true" t="shared" si="68" ref="AM28:AM30">AK28/AI28-1</f>
        <v>#REF!</v>
      </c>
      <c r="AN28" s="94">
        <v>3110.25</v>
      </c>
      <c r="AO28" s="94">
        <v>6104.56</v>
      </c>
      <c r="AP28" s="124" t="e">
        <f aca="true" t="shared" si="69" ref="AP28:AP30">AK28/AJ28</f>
        <v>#REF!</v>
      </c>
      <c r="AQ28" s="124" t="e">
        <f aca="true" t="shared" si="70" ref="AQ28:AQ32">AL28/AK28-1</f>
        <v>#REF!</v>
      </c>
      <c r="AR28" s="100">
        <v>0</v>
      </c>
      <c r="AS28" s="100">
        <v>0</v>
      </c>
      <c r="AT28" s="100">
        <v>0</v>
      </c>
      <c r="AU28" s="133" t="e">
        <f>(#REF!-#REF!)/#REF!</f>
        <v>#REF!</v>
      </c>
      <c r="AV28" s="100">
        <v>0</v>
      </c>
      <c r="AW28" s="100">
        <v>0</v>
      </c>
      <c r="AX28" s="100">
        <f>SUM(AX29:AX35)</f>
        <v>13411.37</v>
      </c>
      <c r="AY28" s="100">
        <f>SUM(AY29:AY35)+0.01</f>
        <v>12390.45</v>
      </c>
      <c r="AZ28" s="100">
        <f>AY28-AX28</f>
        <v>-1020.9200000000001</v>
      </c>
      <c r="BA28" s="143">
        <f t="shared" si="20"/>
        <v>2.1969429410145858</v>
      </c>
      <c r="BB28" s="142">
        <f t="shared" si="21"/>
        <v>-0.07612346837049455</v>
      </c>
    </row>
    <row r="29" spans="1:54" s="71" customFormat="1" ht="33.75" customHeight="1">
      <c r="A29" s="99" t="s">
        <v>72</v>
      </c>
      <c r="B29" s="96"/>
      <c r="C29" s="96"/>
      <c r="D29" s="97">
        <v>7949</v>
      </c>
      <c r="E29" s="97">
        <v>34143</v>
      </c>
      <c r="F29" s="97">
        <v>32804</v>
      </c>
      <c r="G29" s="97">
        <v>20299</v>
      </c>
      <c r="H29" s="98">
        <v>2504</v>
      </c>
      <c r="I29" s="98">
        <f>105051572/10000+27</f>
        <v>10532.1572</v>
      </c>
      <c r="J29" s="98">
        <v>2928.12</v>
      </c>
      <c r="K29" s="98">
        <v>8280</v>
      </c>
      <c r="L29" s="125">
        <f t="shared" si="61"/>
        <v>0.16937699680511176</v>
      </c>
      <c r="M29" s="98">
        <v>608.32</v>
      </c>
      <c r="N29" s="98">
        <v>5143</v>
      </c>
      <c r="O29" s="125">
        <f t="shared" si="62"/>
        <v>0.2780171188481691</v>
      </c>
      <c r="P29" s="125">
        <f t="shared" si="63"/>
        <v>1.8277529609442236</v>
      </c>
      <c r="Q29" s="133">
        <f t="shared" si="64"/>
        <v>-0.9236678453847091</v>
      </c>
      <c r="R29" s="133">
        <f>H29/G29</f>
        <v>0.12335583033646978</v>
      </c>
      <c r="S29" s="133">
        <f t="shared" si="65"/>
        <v>3.206133067092652</v>
      </c>
      <c r="T29" s="133">
        <f>(F28-D28)/D28</f>
        <v>2.768261114237479</v>
      </c>
      <c r="U29" s="133">
        <f>F28/E28</f>
        <v>0.9806109597867791</v>
      </c>
      <c r="V29" s="133">
        <f>(G28-F28)/F28</f>
        <v>-0.39371583883396555</v>
      </c>
      <c r="W29" s="98">
        <v>1865.78</v>
      </c>
      <c r="X29" s="98">
        <v>8260</v>
      </c>
      <c r="Y29" s="98"/>
      <c r="Z29" s="145">
        <f t="shared" si="66"/>
        <v>0.3627804783200467</v>
      </c>
      <c r="AA29" s="146">
        <f t="shared" si="24"/>
        <v>3.4271028738650857</v>
      </c>
      <c r="AB29" s="149" t="s">
        <v>73</v>
      </c>
      <c r="AC29" s="153" t="e">
        <f>#REF!-#REF!</f>
        <v>#REF!</v>
      </c>
      <c r="AD29" s="154" t="e">
        <f>#REF!-#REF!</f>
        <v>#REF!</v>
      </c>
      <c r="AE29" s="155">
        <v>24</v>
      </c>
      <c r="AF29" s="153">
        <v>4</v>
      </c>
      <c r="AG29" s="153">
        <v>11</v>
      </c>
      <c r="AH29" s="168">
        <v>0</v>
      </c>
      <c r="AI29" s="98">
        <v>26</v>
      </c>
      <c r="AJ29" s="98">
        <v>68.48</v>
      </c>
      <c r="AK29" s="98">
        <v>48.24</v>
      </c>
      <c r="AL29" s="98">
        <v>19.86</v>
      </c>
      <c r="AM29" s="125">
        <f t="shared" si="68"/>
        <v>0.8553846153846154</v>
      </c>
      <c r="AN29" s="98">
        <v>19.86</v>
      </c>
      <c r="AO29" s="98">
        <v>14.9</v>
      </c>
      <c r="AP29" s="125">
        <f t="shared" si="69"/>
        <v>0.7044392523364486</v>
      </c>
      <c r="AQ29" s="125">
        <v>1.65</v>
      </c>
      <c r="AR29" s="133" t="e">
        <f>(AI28-AG28)/AG28</f>
        <v>#REF!</v>
      </c>
      <c r="AS29" s="133" t="e">
        <f>AI28/AH28</f>
        <v>#REF!</v>
      </c>
      <c r="AT29" s="133" t="e">
        <f>(AJ28-AI28)/AI28</f>
        <v>#REF!</v>
      </c>
      <c r="AU29" s="133">
        <f>(AG28-AE28)/AE28</f>
        <v>-0.5952960708356392</v>
      </c>
      <c r="AV29" s="133">
        <f>AG28/AF28</f>
        <v>0.26961362630880403</v>
      </c>
      <c r="AW29" s="133">
        <f>(AH28-AG28)/AG28</f>
        <v>3.2220702857924244</v>
      </c>
      <c r="AX29" s="98">
        <v>24.83</v>
      </c>
      <c r="AY29" s="98">
        <v>19.86</v>
      </c>
      <c r="AZ29" s="98"/>
      <c r="BA29" s="146">
        <f t="shared" si="20"/>
        <v>1.6664429530201341</v>
      </c>
      <c r="BB29" s="145">
        <f t="shared" si="21"/>
        <v>-0.20016109544905358</v>
      </c>
    </row>
    <row r="30" spans="1:54" s="71" customFormat="1" ht="33.75" customHeight="1">
      <c r="A30" s="99" t="s">
        <v>74</v>
      </c>
      <c r="B30" s="96"/>
      <c r="C30" s="96"/>
      <c r="D30" s="97">
        <v>936</v>
      </c>
      <c r="E30" s="100">
        <v>0</v>
      </c>
      <c r="F30" s="97">
        <v>677</v>
      </c>
      <c r="G30" s="100">
        <v>0</v>
      </c>
      <c r="H30" s="98">
        <v>743</v>
      </c>
      <c r="I30" s="98">
        <f>6325704/10000</f>
        <v>632.5704</v>
      </c>
      <c r="J30" s="98">
        <v>476.5</v>
      </c>
      <c r="K30" s="98">
        <v>100</v>
      </c>
      <c r="L30" s="125">
        <f t="shared" si="61"/>
        <v>-0.3586810228802153</v>
      </c>
      <c r="M30" s="98">
        <v>1868.1</v>
      </c>
      <c r="N30" s="98">
        <v>0</v>
      </c>
      <c r="O30" s="125">
        <f t="shared" si="62"/>
        <v>0.7532758409182599</v>
      </c>
      <c r="P30" s="125">
        <f t="shared" si="63"/>
        <v>-0.7901364113326338</v>
      </c>
      <c r="Q30" s="133">
        <f t="shared" si="64"/>
        <v>0.09748892171344166</v>
      </c>
      <c r="R30" s="100">
        <v>0</v>
      </c>
      <c r="S30" s="133">
        <f t="shared" si="65"/>
        <v>-0.1486266487213998</v>
      </c>
      <c r="T30" s="133">
        <f>(F29-D29)/D29</f>
        <v>3.1268084035727766</v>
      </c>
      <c r="U30" s="133">
        <f>F29/E29</f>
        <v>0.9607825908678206</v>
      </c>
      <c r="V30" s="133">
        <f>(G29-F29)/F29</f>
        <v>-0.3812035117668577</v>
      </c>
      <c r="W30" s="98">
        <v>1476.88</v>
      </c>
      <c r="X30" s="98">
        <v>117.65</v>
      </c>
      <c r="Y30" s="98"/>
      <c r="Z30" s="98">
        <v>0</v>
      </c>
      <c r="AA30" s="146">
        <f t="shared" si="24"/>
        <v>-0.9203388223823195</v>
      </c>
      <c r="AB30" s="150" t="s">
        <v>75</v>
      </c>
      <c r="AC30" s="97" t="e">
        <f>#REF!-#REF!</f>
        <v>#REF!</v>
      </c>
      <c r="AD30" s="148" t="e">
        <f>#REF!-#REF!</f>
        <v>#REF!</v>
      </c>
      <c r="AE30" s="97">
        <v>18046</v>
      </c>
      <c r="AF30" s="97">
        <v>27120</v>
      </c>
      <c r="AG30" s="97">
        <v>7302</v>
      </c>
      <c r="AH30" s="97">
        <v>30863</v>
      </c>
      <c r="AI30" s="98">
        <v>6158</v>
      </c>
      <c r="AJ30" s="98">
        <v>16885.57</v>
      </c>
      <c r="AK30" s="98">
        <v>8812.48</v>
      </c>
      <c r="AL30" s="98">
        <v>9956.48</v>
      </c>
      <c r="AM30" s="125">
        <f t="shared" si="68"/>
        <v>0.4310620331276387</v>
      </c>
      <c r="AN30" s="98">
        <v>2944.65</v>
      </c>
      <c r="AO30" s="98">
        <v>5859.54</v>
      </c>
      <c r="AP30" s="125">
        <f t="shared" si="69"/>
        <v>0.5218941380125159</v>
      </c>
      <c r="AQ30" s="125">
        <f t="shared" si="70"/>
        <v>0.12981589745451916</v>
      </c>
      <c r="AR30" s="100">
        <v>0</v>
      </c>
      <c r="AS30" s="100">
        <v>0</v>
      </c>
      <c r="AT30" s="133" t="e">
        <f>(#REF!-#REF!)/#REF!</f>
        <v>#REF!</v>
      </c>
      <c r="AU30" s="100">
        <v>0</v>
      </c>
      <c r="AV30" s="175"/>
      <c r="AW30" s="175"/>
      <c r="AX30" s="98">
        <v>4170.06</v>
      </c>
      <c r="AY30" s="98">
        <v>11635.57</v>
      </c>
      <c r="AZ30" s="98"/>
      <c r="BA30" s="146">
        <f t="shared" si="20"/>
        <v>0.7116701993671859</v>
      </c>
      <c r="BB30" s="145">
        <f t="shared" si="21"/>
        <v>1.7902644086655823</v>
      </c>
    </row>
    <row r="31" spans="1:54" s="71" customFormat="1" ht="33.75" customHeight="1">
      <c r="A31" s="107"/>
      <c r="B31" s="96"/>
      <c r="C31" s="96"/>
      <c r="D31" s="97"/>
      <c r="E31" s="97"/>
      <c r="F31" s="97"/>
      <c r="G31" s="97"/>
      <c r="H31" s="98"/>
      <c r="I31" s="98"/>
      <c r="J31" s="98"/>
      <c r="K31" s="98"/>
      <c r="L31" s="125"/>
      <c r="M31" s="98"/>
      <c r="N31" s="98"/>
      <c r="O31" s="125"/>
      <c r="P31" s="125"/>
      <c r="Q31" s="133"/>
      <c r="R31" s="133"/>
      <c r="S31" s="133"/>
      <c r="T31" s="133"/>
      <c r="U31" s="133"/>
      <c r="V31" s="133"/>
      <c r="W31" s="134"/>
      <c r="X31" s="134"/>
      <c r="Y31" s="134"/>
      <c r="Z31" s="142"/>
      <c r="AA31" s="143"/>
      <c r="AB31" s="151" t="s">
        <v>76</v>
      </c>
      <c r="AC31" s="156"/>
      <c r="AD31" s="156"/>
      <c r="AE31" s="157"/>
      <c r="AF31" s="157"/>
      <c r="AG31" s="100">
        <v>0</v>
      </c>
      <c r="AH31" s="100">
        <v>0</v>
      </c>
      <c r="AI31" s="98">
        <v>2503</v>
      </c>
      <c r="AJ31" s="98">
        <v>7.07</v>
      </c>
      <c r="AK31" s="98">
        <v>0</v>
      </c>
      <c r="AL31" s="98">
        <v>0</v>
      </c>
      <c r="AM31" s="98">
        <v>0</v>
      </c>
      <c r="AN31" s="98">
        <v>0</v>
      </c>
      <c r="AO31" s="98">
        <v>0.86</v>
      </c>
      <c r="AP31" s="98">
        <v>0</v>
      </c>
      <c r="AQ31" s="98">
        <v>0</v>
      </c>
      <c r="AR31" s="133" t="e">
        <f>(#REF!-#REF!)/#REF!</f>
        <v>#REF!</v>
      </c>
      <c r="AS31" s="100">
        <v>0</v>
      </c>
      <c r="AT31" s="133" t="e">
        <f>(#REF!-#REF!)/#REF!</f>
        <v>#REF!</v>
      </c>
      <c r="AU31" s="133" t="e">
        <f>(#REF!-#REF!)/#REF!</f>
        <v>#REF!</v>
      </c>
      <c r="AV31" s="100">
        <v>0</v>
      </c>
      <c r="AW31" s="133" t="e">
        <f>(#REF!-#REF!)/#REF!</f>
        <v>#REF!</v>
      </c>
      <c r="AX31" s="98">
        <v>0</v>
      </c>
      <c r="AY31" s="98">
        <v>0</v>
      </c>
      <c r="AZ31" s="98"/>
      <c r="BA31" s="98">
        <v>0</v>
      </c>
      <c r="BB31" s="98">
        <v>0</v>
      </c>
    </row>
    <row r="32" spans="1:54" s="71" customFormat="1" ht="33.75" customHeight="1">
      <c r="A32" s="108" t="s">
        <v>77</v>
      </c>
      <c r="B32" s="110"/>
      <c r="C32" s="110"/>
      <c r="D32" s="110"/>
      <c r="E32" s="110"/>
      <c r="F32" s="110"/>
      <c r="G32" s="110"/>
      <c r="H32" s="111"/>
      <c r="I32" s="111"/>
      <c r="J32" s="111"/>
      <c r="K32" s="111">
        <v>0</v>
      </c>
      <c r="L32" s="124"/>
      <c r="M32" s="94">
        <v>0</v>
      </c>
      <c r="N32" s="94">
        <v>415</v>
      </c>
      <c r="O32" s="124"/>
      <c r="P32" s="124"/>
      <c r="Q32" s="133"/>
      <c r="R32" s="133"/>
      <c r="S32" s="133"/>
      <c r="T32" s="133"/>
      <c r="U32" s="133"/>
      <c r="V32" s="133"/>
      <c r="W32" s="94">
        <v>13465</v>
      </c>
      <c r="X32" s="94">
        <v>100</v>
      </c>
      <c r="Y32" s="94"/>
      <c r="Z32" s="142">
        <f t="shared" si="66"/>
        <v>32.44578313253012</v>
      </c>
      <c r="AA32" s="143">
        <f t="shared" si="24"/>
        <v>-0.9925733382844412</v>
      </c>
      <c r="AB32" s="151" t="s">
        <v>78</v>
      </c>
      <c r="AC32" s="104">
        <v>0</v>
      </c>
      <c r="AD32" s="104">
        <v>0</v>
      </c>
      <c r="AE32" s="100">
        <v>0</v>
      </c>
      <c r="AF32" s="100">
        <v>0</v>
      </c>
      <c r="AG32" s="100">
        <v>0</v>
      </c>
      <c r="AH32" s="169">
        <v>13</v>
      </c>
      <c r="AI32" s="98">
        <v>141</v>
      </c>
      <c r="AJ32" s="98">
        <v>105.85</v>
      </c>
      <c r="AK32" s="98">
        <v>148.54</v>
      </c>
      <c r="AL32" s="98">
        <v>87.05</v>
      </c>
      <c r="AM32" s="125">
        <f>AK32/AI32-1</f>
        <v>0.05347517730496443</v>
      </c>
      <c r="AN32" s="98">
        <v>145.74</v>
      </c>
      <c r="AO32" s="98">
        <v>229.26</v>
      </c>
      <c r="AP32" s="125">
        <f>AK32/AJ32</f>
        <v>1.4033065658951347</v>
      </c>
      <c r="AQ32" s="125">
        <f t="shared" si="70"/>
        <v>-0.41396256900498185</v>
      </c>
      <c r="AR32" s="133">
        <f>(AI30-AG30)/AG30</f>
        <v>-0.1566694056422898</v>
      </c>
      <c r="AS32" s="133">
        <f>AI30/AH30</f>
        <v>0.19952694164533583</v>
      </c>
      <c r="AT32" s="133">
        <f>(AJ30-AI30)/AI30</f>
        <v>1.7420542383890874</v>
      </c>
      <c r="AU32" s="133">
        <f>(AG30-AE30)/AE30</f>
        <v>-0.5953673944364402</v>
      </c>
      <c r="AV32" s="133">
        <f>AG30/AF30</f>
        <v>0.26924778761061946</v>
      </c>
      <c r="AW32" s="133">
        <f>(AH30-AG30)/AG30</f>
        <v>3.226650232812928</v>
      </c>
      <c r="AX32" s="98">
        <v>239.62</v>
      </c>
      <c r="AY32" s="98">
        <v>329.51</v>
      </c>
      <c r="AZ32" s="98"/>
      <c r="BA32" s="146">
        <f t="shared" si="20"/>
        <v>1.0451888685335429</v>
      </c>
      <c r="BB32" s="145">
        <f t="shared" si="21"/>
        <v>0.37513563141640915</v>
      </c>
    </row>
    <row r="33" spans="1:54" s="71" customFormat="1" ht="33.75" customHeight="1">
      <c r="A33" s="108"/>
      <c r="B33" s="109"/>
      <c r="C33" s="109"/>
      <c r="D33" s="109"/>
      <c r="E33" s="109"/>
      <c r="F33" s="109"/>
      <c r="G33" s="109"/>
      <c r="H33" s="94"/>
      <c r="I33" s="94"/>
      <c r="J33" s="94"/>
      <c r="K33" s="94"/>
      <c r="L33" s="124"/>
      <c r="M33" s="94"/>
      <c r="N33" s="94"/>
      <c r="O33" s="124"/>
      <c r="P33" s="124"/>
      <c r="Q33" s="133"/>
      <c r="R33" s="133"/>
      <c r="S33" s="133"/>
      <c r="T33" s="133"/>
      <c r="U33" s="133"/>
      <c r="V33" s="133"/>
      <c r="W33" s="134"/>
      <c r="X33" s="134"/>
      <c r="Y33" s="134"/>
      <c r="Z33" s="142"/>
      <c r="AA33" s="143"/>
      <c r="AB33" s="151" t="s">
        <v>79</v>
      </c>
      <c r="AC33" s="104"/>
      <c r="AD33" s="104"/>
      <c r="AE33" s="100"/>
      <c r="AF33" s="100"/>
      <c r="AG33" s="100"/>
      <c r="AH33" s="169"/>
      <c r="AI33" s="98"/>
      <c r="AJ33" s="98"/>
      <c r="AK33" s="98"/>
      <c r="AL33" s="98"/>
      <c r="AM33" s="125"/>
      <c r="AN33" s="98"/>
      <c r="AO33" s="98">
        <v>0</v>
      </c>
      <c r="AP33" s="125"/>
      <c r="AQ33" s="125"/>
      <c r="AR33" s="133"/>
      <c r="AS33" s="133"/>
      <c r="AT33" s="133"/>
      <c r="AU33" s="133"/>
      <c r="AV33" s="133"/>
      <c r="AW33" s="133"/>
      <c r="AX33" s="98">
        <v>8950</v>
      </c>
      <c r="AY33" s="98">
        <v>0</v>
      </c>
      <c r="AZ33" s="98"/>
      <c r="BA33" s="146">
        <v>1</v>
      </c>
      <c r="BB33" s="145">
        <f t="shared" si="21"/>
        <v>-1</v>
      </c>
    </row>
    <row r="34" spans="1:54" s="71" customFormat="1" ht="33.75" customHeight="1">
      <c r="A34" s="112" t="s">
        <v>80</v>
      </c>
      <c r="B34" s="113" t="e">
        <f>B7+B26+#REF!</f>
        <v>#REF!</v>
      </c>
      <c r="C34" s="113" t="e">
        <f>C7+C26+#REF!</f>
        <v>#REF!</v>
      </c>
      <c r="D34" s="93">
        <f aca="true" t="shared" si="71" ref="D34:J34">D7+D26+D30</f>
        <v>7205</v>
      </c>
      <c r="E34" s="93">
        <f t="shared" si="71"/>
        <v>3161</v>
      </c>
      <c r="F34" s="93">
        <f t="shared" si="71"/>
        <v>3038</v>
      </c>
      <c r="G34" s="93">
        <f t="shared" si="71"/>
        <v>4583</v>
      </c>
      <c r="H34" s="94">
        <f t="shared" si="71"/>
        <v>4833</v>
      </c>
      <c r="I34" s="94">
        <f t="shared" si="71"/>
        <v>6915.1637</v>
      </c>
      <c r="J34" s="94">
        <f t="shared" si="71"/>
        <v>4950</v>
      </c>
      <c r="K34" s="94">
        <f aca="true" t="shared" si="72" ref="K34:N34">K5+K24+K28+K32</f>
        <v>39086.82</v>
      </c>
      <c r="L34" s="124">
        <f aca="true" t="shared" si="73" ref="L34:L39">J34/H34-1</f>
        <v>0.024208566108007368</v>
      </c>
      <c r="M34" s="94">
        <f t="shared" si="72"/>
        <v>31045.72</v>
      </c>
      <c r="N34" s="94">
        <f t="shared" si="72"/>
        <v>33888</v>
      </c>
      <c r="O34" s="124">
        <f aca="true" t="shared" si="74" ref="O34:O39">J34/I34</f>
        <v>0.7158181953089556</v>
      </c>
      <c r="P34" s="124">
        <f aca="true" t="shared" si="75" ref="P34:P39">K34/J34-1</f>
        <v>6.896327272727273</v>
      </c>
      <c r="Q34" s="133">
        <f>(H34-F34)/F34</f>
        <v>0.5908492429229757</v>
      </c>
      <c r="R34" s="133">
        <f>H34/G34</f>
        <v>1.054549421776129</v>
      </c>
      <c r="S34" s="133">
        <f>(I34-H34)/H34</f>
        <v>0.4308222015311401</v>
      </c>
      <c r="T34" s="133"/>
      <c r="U34" s="133"/>
      <c r="V34" s="133"/>
      <c r="W34" s="94">
        <f>W5+W24+W28+W32</f>
        <v>55383.75</v>
      </c>
      <c r="X34" s="94">
        <f>X5+X24+X28+X32</f>
        <v>36692.9</v>
      </c>
      <c r="Y34" s="94"/>
      <c r="Z34" s="142">
        <f aca="true" t="shared" si="76" ref="Z34:Z39">W34/N34</f>
        <v>1.6343174575070822</v>
      </c>
      <c r="AA34" s="143">
        <f t="shared" si="24"/>
        <v>-0.33747895366420655</v>
      </c>
      <c r="AB34" s="151" t="s">
        <v>81</v>
      </c>
      <c r="AC34" s="104"/>
      <c r="AD34" s="104"/>
      <c r="AE34" s="100"/>
      <c r="AF34" s="100"/>
      <c r="AG34" s="100"/>
      <c r="AH34" s="169"/>
      <c r="AI34" s="98"/>
      <c r="AJ34" s="98"/>
      <c r="AK34" s="98"/>
      <c r="AL34" s="98"/>
      <c r="AM34" s="125"/>
      <c r="AN34" s="98"/>
      <c r="AO34" s="98">
        <v>0</v>
      </c>
      <c r="AP34" s="125"/>
      <c r="AQ34" s="125"/>
      <c r="AR34" s="133"/>
      <c r="AS34" s="133"/>
      <c r="AT34" s="133"/>
      <c r="AU34" s="133"/>
      <c r="AV34" s="133"/>
      <c r="AW34" s="133"/>
      <c r="AX34" s="98">
        <v>18.01</v>
      </c>
      <c r="AY34" s="98">
        <v>400</v>
      </c>
      <c r="AZ34" s="98"/>
      <c r="BA34" s="146">
        <v>1</v>
      </c>
      <c r="BB34" s="145">
        <f t="shared" si="21"/>
        <v>21.209883398112158</v>
      </c>
    </row>
    <row r="35" spans="1:54" s="71" customFormat="1" ht="33.75" customHeight="1">
      <c r="A35" s="99"/>
      <c r="B35" s="96"/>
      <c r="C35" s="96"/>
      <c r="D35" s="97"/>
      <c r="E35" s="100"/>
      <c r="F35" s="97"/>
      <c r="G35" s="100"/>
      <c r="H35" s="98"/>
      <c r="I35" s="98"/>
      <c r="J35" s="98"/>
      <c r="K35" s="98"/>
      <c r="L35" s="125"/>
      <c r="M35" s="98">
        <f>M34/K34</f>
        <v>0.7942759221650675</v>
      </c>
      <c r="N35" s="98"/>
      <c r="O35" s="125"/>
      <c r="P35" s="125"/>
      <c r="Q35" s="133"/>
      <c r="R35" s="100"/>
      <c r="S35" s="133"/>
      <c r="T35" s="133"/>
      <c r="U35" s="133"/>
      <c r="V35" s="133"/>
      <c r="W35" s="134"/>
      <c r="X35" s="134"/>
      <c r="Y35" s="134"/>
      <c r="Z35" s="142"/>
      <c r="AA35" s="143"/>
      <c r="AB35" s="151" t="s">
        <v>82</v>
      </c>
      <c r="AC35" s="104"/>
      <c r="AD35" s="104"/>
      <c r="AE35" s="100"/>
      <c r="AF35" s="100"/>
      <c r="AG35" s="100"/>
      <c r="AH35" s="169"/>
      <c r="AI35" s="98"/>
      <c r="AJ35" s="98"/>
      <c r="AK35" s="98"/>
      <c r="AL35" s="98"/>
      <c r="AM35" s="125"/>
      <c r="AN35" s="98"/>
      <c r="AO35" s="98">
        <v>0</v>
      </c>
      <c r="AP35" s="125"/>
      <c r="AQ35" s="125"/>
      <c r="AR35" s="133"/>
      <c r="AS35" s="133"/>
      <c r="AT35" s="133"/>
      <c r="AU35" s="133"/>
      <c r="AV35" s="133"/>
      <c r="AW35" s="133"/>
      <c r="AX35" s="98">
        <v>8.85</v>
      </c>
      <c r="AY35" s="98">
        <v>5.5</v>
      </c>
      <c r="AZ35" s="98"/>
      <c r="BA35" s="146">
        <v>1</v>
      </c>
      <c r="BB35" s="145">
        <f t="shared" si="21"/>
        <v>-0.37853107344632764</v>
      </c>
    </row>
    <row r="36" spans="1:54" s="71" customFormat="1" ht="33.75" customHeight="1">
      <c r="A36" s="106" t="s">
        <v>83</v>
      </c>
      <c r="B36" s="93">
        <v>0</v>
      </c>
      <c r="C36" s="93">
        <v>0</v>
      </c>
      <c r="D36" s="93">
        <v>3789</v>
      </c>
      <c r="E36" s="93">
        <v>1112</v>
      </c>
      <c r="F36" s="93">
        <v>1112</v>
      </c>
      <c r="G36" s="93">
        <v>20409</v>
      </c>
      <c r="H36" s="94">
        <v>18513.3</v>
      </c>
      <c r="I36" s="94">
        <v>12429.36</v>
      </c>
      <c r="J36" s="94">
        <v>12727.35</v>
      </c>
      <c r="K36" s="94">
        <v>4110.1</v>
      </c>
      <c r="L36" s="124">
        <f t="shared" si="73"/>
        <v>-0.31252937077668486</v>
      </c>
      <c r="M36" s="94">
        <v>4334.61</v>
      </c>
      <c r="N36" s="94">
        <v>4571.77</v>
      </c>
      <c r="O36" s="124">
        <f t="shared" si="74"/>
        <v>1.023974685744077</v>
      </c>
      <c r="P36" s="124">
        <f t="shared" si="75"/>
        <v>-0.6770655321021265</v>
      </c>
      <c r="Q36" s="133">
        <f>(H36-F36)/F36</f>
        <v>15.64865107913669</v>
      </c>
      <c r="R36" s="133">
        <f>H36/G36</f>
        <v>0.9071145083051595</v>
      </c>
      <c r="S36" s="133">
        <f>(I36-H36)/H36</f>
        <v>-0.3286253666283158</v>
      </c>
      <c r="T36" s="102"/>
      <c r="U36" s="102"/>
      <c r="V36" s="102"/>
      <c r="W36" s="94">
        <v>4571.77</v>
      </c>
      <c r="X36" s="94">
        <v>18091.34</v>
      </c>
      <c r="Y36" s="94"/>
      <c r="Z36" s="142">
        <f t="shared" si="76"/>
        <v>1</v>
      </c>
      <c r="AA36" s="143">
        <f t="shared" si="24"/>
        <v>2.9571850727398794</v>
      </c>
      <c r="AB36" s="151"/>
      <c r="AC36" s="104"/>
      <c r="AD36" s="104"/>
      <c r="AE36" s="100"/>
      <c r="AF36" s="100"/>
      <c r="AG36" s="100"/>
      <c r="AH36" s="169"/>
      <c r="AI36" s="98"/>
      <c r="AJ36" s="98"/>
      <c r="AK36" s="98"/>
      <c r="AL36" s="98"/>
      <c r="AM36" s="124"/>
      <c r="AN36" s="94"/>
      <c r="AO36" s="94"/>
      <c r="AP36" s="124"/>
      <c r="AQ36" s="124"/>
      <c r="AR36" s="100">
        <v>0</v>
      </c>
      <c r="AS36" s="100">
        <v>0</v>
      </c>
      <c r="AT36" s="133" t="e">
        <f>(#REF!-#REF!)/#REF!</f>
        <v>#REF!</v>
      </c>
      <c r="AU36" s="100">
        <v>0</v>
      </c>
      <c r="AV36" s="175"/>
      <c r="AW36" s="175"/>
      <c r="AX36" s="180"/>
      <c r="AY36" s="180"/>
      <c r="AZ36" s="180"/>
      <c r="BA36" s="175"/>
      <c r="BB36" s="181"/>
    </row>
    <row r="37" spans="1:54" s="71" customFormat="1" ht="33.75" customHeight="1">
      <c r="A37" s="106"/>
      <c r="B37" s="93"/>
      <c r="C37" s="93"/>
      <c r="D37" s="93"/>
      <c r="E37" s="93"/>
      <c r="F37" s="93"/>
      <c r="G37" s="93"/>
      <c r="H37" s="94"/>
      <c r="I37" s="94"/>
      <c r="J37" s="94"/>
      <c r="K37" s="94"/>
      <c r="L37" s="124"/>
      <c r="M37" s="94"/>
      <c r="N37" s="94"/>
      <c r="O37" s="124"/>
      <c r="P37" s="124"/>
      <c r="Q37" s="133"/>
      <c r="R37" s="133"/>
      <c r="S37" s="133"/>
      <c r="T37" s="102"/>
      <c r="U37" s="102"/>
      <c r="V37" s="102"/>
      <c r="W37" s="94"/>
      <c r="X37" s="94"/>
      <c r="Y37" s="94"/>
      <c r="Z37" s="142"/>
      <c r="AA37" s="143"/>
      <c r="AB37" s="158" t="s">
        <v>84</v>
      </c>
      <c r="AC37" s="104"/>
      <c r="AD37" s="104"/>
      <c r="AE37" s="144" t="e">
        <f>#REF!+AE28</f>
        <v>#REF!</v>
      </c>
      <c r="AF37" s="144" t="e">
        <f>#REF!+AF28</f>
        <v>#REF!</v>
      </c>
      <c r="AG37" s="144" t="e">
        <f>#REF!+AG28</f>
        <v>#REF!</v>
      </c>
      <c r="AH37" s="144" t="e">
        <f>#REF!+AH28</f>
        <v>#REF!</v>
      </c>
      <c r="AI37" s="94" t="e">
        <f aca="true" t="shared" si="77" ref="AI37:AL37">AI28+AI5</f>
        <v>#REF!</v>
      </c>
      <c r="AJ37" s="94" t="e">
        <f t="shared" si="77"/>
        <v>#REF!</v>
      </c>
      <c r="AK37" s="94" t="e">
        <f t="shared" si="77"/>
        <v>#REF!</v>
      </c>
      <c r="AL37" s="94">
        <f t="shared" si="77"/>
        <v>43054.51</v>
      </c>
      <c r="AM37" s="124" t="e">
        <f>AK37/AI37-1</f>
        <v>#REF!</v>
      </c>
      <c r="AN37" s="94">
        <f>AN28+AN5</f>
        <v>30808.56</v>
      </c>
      <c r="AO37" s="94">
        <f>AO28+AO5</f>
        <v>38368.68</v>
      </c>
      <c r="AP37" s="124" t="e">
        <f>AK37/AJ37</f>
        <v>#REF!</v>
      </c>
      <c r="AQ37" s="124" t="e">
        <f>AL37/AK37-1</f>
        <v>#REF!</v>
      </c>
      <c r="AR37" s="100">
        <v>0</v>
      </c>
      <c r="AS37" s="100">
        <v>0</v>
      </c>
      <c r="AT37" s="100">
        <v>0</v>
      </c>
      <c r="AU37" s="100"/>
      <c r="AV37" s="175"/>
      <c r="AW37" s="175"/>
      <c r="AX37" s="94">
        <f>AX28+AX5</f>
        <v>41864.18</v>
      </c>
      <c r="AY37" s="94">
        <f>AY28+AY5</f>
        <v>54540.15000000001</v>
      </c>
      <c r="AZ37" s="100">
        <f>AY37-AX37</f>
        <v>12675.970000000008</v>
      </c>
      <c r="BA37" s="143">
        <f t="shared" si="20"/>
        <v>1.091102951678296</v>
      </c>
      <c r="BB37" s="142">
        <f t="shared" si="21"/>
        <v>0.3027879681388721</v>
      </c>
    </row>
    <row r="38" spans="1:54" s="71" customFormat="1" ht="33.75" customHeight="1">
      <c r="A38" s="114"/>
      <c r="B38" s="110"/>
      <c r="C38" s="110"/>
      <c r="D38" s="110"/>
      <c r="E38" s="110"/>
      <c r="F38" s="110"/>
      <c r="G38" s="110"/>
      <c r="H38" s="111"/>
      <c r="I38" s="111"/>
      <c r="J38" s="111"/>
      <c r="K38" s="98"/>
      <c r="L38" s="125"/>
      <c r="M38" s="98"/>
      <c r="N38" s="98"/>
      <c r="O38" s="125"/>
      <c r="P38" s="125"/>
      <c r="Q38" s="135"/>
      <c r="R38" s="136"/>
      <c r="S38" s="135"/>
      <c r="T38" s="102"/>
      <c r="U38" s="102"/>
      <c r="V38" s="102"/>
      <c r="W38" s="137"/>
      <c r="X38" s="137"/>
      <c r="Y38" s="137"/>
      <c r="Z38" s="142"/>
      <c r="AA38" s="143"/>
      <c r="AB38" s="151"/>
      <c r="AC38" s="104">
        <v>0</v>
      </c>
      <c r="AD38" s="104">
        <v>0</v>
      </c>
      <c r="AE38" s="97"/>
      <c r="AF38" s="104"/>
      <c r="AG38" s="104"/>
      <c r="AH38" s="104"/>
      <c r="AI38" s="98"/>
      <c r="AJ38" s="98"/>
      <c r="AK38" s="98"/>
      <c r="AL38" s="98"/>
      <c r="AM38" s="124"/>
      <c r="AN38" s="94"/>
      <c r="AO38" s="94"/>
      <c r="AP38" s="124"/>
      <c r="AQ38" s="124"/>
      <c r="AR38" s="100">
        <v>0</v>
      </c>
      <c r="AS38" s="133">
        <f>AI32/AH32</f>
        <v>10.846153846153847</v>
      </c>
      <c r="AT38" s="133">
        <f>(AJ32-AI32)/AI32</f>
        <v>-0.249290780141844</v>
      </c>
      <c r="AU38" s="100">
        <v>0</v>
      </c>
      <c r="AV38" s="100">
        <v>0</v>
      </c>
      <c r="AW38" s="100">
        <v>0</v>
      </c>
      <c r="AX38" s="134"/>
      <c r="AY38" s="134"/>
      <c r="AZ38" s="134"/>
      <c r="BA38" s="143"/>
      <c r="BB38" s="142"/>
    </row>
    <row r="39" spans="1:54" s="71" customFormat="1" ht="33.75" customHeight="1">
      <c r="A39" s="115" t="s">
        <v>85</v>
      </c>
      <c r="B39" s="116" t="e">
        <f>B32+B28</f>
        <v>#REF!</v>
      </c>
      <c r="C39" s="116" t="e">
        <f>C32+C28</f>
        <v>#REF!</v>
      </c>
      <c r="D39" s="116" t="e">
        <f>D32+#REF!+D36</f>
        <v>#REF!</v>
      </c>
      <c r="E39" s="116" t="e">
        <f>E32+#REF!+E36</f>
        <v>#REF!</v>
      </c>
      <c r="F39" s="116" t="e">
        <f>F32+#REF!+F36</f>
        <v>#REF!</v>
      </c>
      <c r="G39" s="116" t="e">
        <f>G32+#REF!+G36</f>
        <v>#REF!</v>
      </c>
      <c r="H39" s="117">
        <f aca="true" t="shared" si="78" ref="H39:J39">H32+H36</f>
        <v>18513.3</v>
      </c>
      <c r="I39" s="117">
        <f t="shared" si="78"/>
        <v>12429.36</v>
      </c>
      <c r="J39" s="117">
        <f t="shared" si="78"/>
        <v>12727.35</v>
      </c>
      <c r="K39" s="117">
        <f>K34+K36+0.01</f>
        <v>43196.93</v>
      </c>
      <c r="L39" s="124">
        <f t="shared" si="73"/>
        <v>-0.31252937077668486</v>
      </c>
      <c r="M39" s="117">
        <f>M34+M36</f>
        <v>35380.33</v>
      </c>
      <c r="N39" s="117">
        <f>N34+N36</f>
        <v>38459.770000000004</v>
      </c>
      <c r="O39" s="124">
        <f t="shared" si="74"/>
        <v>1.023974685744077</v>
      </c>
      <c r="P39" s="124">
        <f t="shared" si="75"/>
        <v>2.394023893426361</v>
      </c>
      <c r="Q39" s="133"/>
      <c r="R39" s="135"/>
      <c r="S39" s="133"/>
      <c r="T39" s="102"/>
      <c r="U39" s="102"/>
      <c r="V39" s="102"/>
      <c r="W39" s="117">
        <f>W34+W36</f>
        <v>59955.520000000004</v>
      </c>
      <c r="X39" s="117">
        <f>X34+X36</f>
        <v>54784.240000000005</v>
      </c>
      <c r="Y39" s="94">
        <f>X39-W39</f>
        <v>-5171.279999999999</v>
      </c>
      <c r="Z39" s="142">
        <f t="shared" si="76"/>
        <v>1.5589151989208463</v>
      </c>
      <c r="AA39" s="143">
        <f t="shared" si="24"/>
        <v>-0.08625194143925363</v>
      </c>
      <c r="AB39" s="158" t="s">
        <v>86</v>
      </c>
      <c r="AC39" s="144" t="e">
        <f>#REF!-#REF!</f>
        <v>#REF!</v>
      </c>
      <c r="AD39" s="134" t="e">
        <f>#REF!-#REF!</f>
        <v>#REF!</v>
      </c>
      <c r="AE39" s="144" t="e">
        <f>AE37+#REF!</f>
        <v>#REF!</v>
      </c>
      <c r="AF39" s="144" t="e">
        <f>AF37+#REF!</f>
        <v>#REF!</v>
      </c>
      <c r="AG39" s="144" t="e">
        <f>AG37+#REF!</f>
        <v>#REF!</v>
      </c>
      <c r="AH39" s="144" t="e">
        <f>AH37+#REF!</f>
        <v>#REF!</v>
      </c>
      <c r="AI39" s="94" t="e">
        <f aca="true" t="shared" si="79" ref="AI39:AL39">AI37</f>
        <v>#REF!</v>
      </c>
      <c r="AJ39" s="94" t="e">
        <f t="shared" si="79"/>
        <v>#REF!</v>
      </c>
      <c r="AK39" s="94" t="e">
        <f t="shared" si="79"/>
        <v>#REF!</v>
      </c>
      <c r="AL39" s="94">
        <f t="shared" si="79"/>
        <v>43054.51</v>
      </c>
      <c r="AM39" s="124" t="e">
        <f>AK39/AI39-1</f>
        <v>#REF!</v>
      </c>
      <c r="AN39" s="94">
        <f>AN37</f>
        <v>30808.56</v>
      </c>
      <c r="AO39" s="94">
        <f>AO37</f>
        <v>38368.68</v>
      </c>
      <c r="AP39" s="124" t="e">
        <f>AK39/AJ39</f>
        <v>#REF!</v>
      </c>
      <c r="AQ39" s="124" t="e">
        <f>AL39/AK39-1</f>
        <v>#REF!</v>
      </c>
      <c r="AR39" s="133"/>
      <c r="AS39" s="135"/>
      <c r="AT39" s="133"/>
      <c r="AU39" s="100"/>
      <c r="AV39" s="100"/>
      <c r="AW39" s="100"/>
      <c r="AX39" s="94">
        <f>AX37</f>
        <v>41864.18</v>
      </c>
      <c r="AY39" s="94">
        <f>AY37</f>
        <v>54540.15000000001</v>
      </c>
      <c r="AZ39" s="94"/>
      <c r="BA39" s="143">
        <f t="shared" si="20"/>
        <v>1.091102951678296</v>
      </c>
      <c r="BB39" s="142">
        <f t="shared" si="21"/>
        <v>0.3027879681388721</v>
      </c>
    </row>
    <row r="40" spans="1:54" s="71" customFormat="1" ht="33.75" customHeight="1">
      <c r="A40" s="118"/>
      <c r="B40" s="73"/>
      <c r="C40" s="73"/>
      <c r="D40" s="73"/>
      <c r="E40" s="73"/>
      <c r="F40" s="73"/>
      <c r="G40" s="73"/>
      <c r="H40" s="119"/>
      <c r="I40" s="119"/>
      <c r="J40" s="119"/>
      <c r="K40" s="126"/>
      <c r="L40" s="73"/>
      <c r="M40" s="127"/>
      <c r="N40" s="127"/>
      <c r="O40" s="73"/>
      <c r="P40" s="73"/>
      <c r="Q40" s="133"/>
      <c r="R40" s="133"/>
      <c r="S40" s="133"/>
      <c r="T40" s="133"/>
      <c r="U40" s="133"/>
      <c r="V40" s="133"/>
      <c r="W40" s="138"/>
      <c r="X40" s="138"/>
      <c r="Y40" s="138"/>
      <c r="Z40" s="159"/>
      <c r="AA40" s="160"/>
      <c r="AB40" s="161"/>
      <c r="AC40" s="156"/>
      <c r="AD40" s="156"/>
      <c r="AE40" s="156"/>
      <c r="AF40" s="156"/>
      <c r="AG40" s="156"/>
      <c r="AH40" s="156"/>
      <c r="AI40" s="156"/>
      <c r="AJ40" s="156"/>
      <c r="AK40" s="156"/>
      <c r="AL40" s="170"/>
      <c r="AM40" s="156"/>
      <c r="AN40" s="171">
        <f>AN39/AL39</f>
        <v>0.7155710284474263</v>
      </c>
      <c r="AO40" s="171"/>
      <c r="AP40" s="156"/>
      <c r="AQ40" s="156"/>
      <c r="AR40" s="133" t="e">
        <f>(AI37-AG37)/AG37</f>
        <v>#REF!</v>
      </c>
      <c r="AS40" s="133" t="e">
        <f>AI37/AH37</f>
        <v>#REF!</v>
      </c>
      <c r="AT40" s="133" t="e">
        <f>(AJ37-AI37)/AI37</f>
        <v>#REF!</v>
      </c>
      <c r="AU40" s="133" t="e">
        <f>(AG37-AE37)/AE37</f>
        <v>#REF!</v>
      </c>
      <c r="AV40" s="133" t="e">
        <f>AG37/AF37</f>
        <v>#REF!</v>
      </c>
      <c r="AW40" s="133" t="e">
        <f>(AH37-AG37)/AG37</f>
        <v>#REF!</v>
      </c>
      <c r="AX40" s="138"/>
      <c r="AY40" s="138"/>
      <c r="AZ40" s="138"/>
      <c r="BA40" s="160"/>
      <c r="BB40" s="159"/>
    </row>
    <row r="41" spans="1:54" s="72" customFormat="1" ht="33.75" customHeight="1">
      <c r="A41" s="118"/>
      <c r="B41" s="73"/>
      <c r="C41" s="73"/>
      <c r="D41" s="73"/>
      <c r="E41" s="73"/>
      <c r="F41" s="73"/>
      <c r="G41" s="73"/>
      <c r="H41" s="119"/>
      <c r="I41" s="119"/>
      <c r="J41" s="119"/>
      <c r="K41" s="126"/>
      <c r="L41" s="73"/>
      <c r="M41" s="127">
        <f>M39/K39</f>
        <v>0.8190473258169042</v>
      </c>
      <c r="N41" s="127"/>
      <c r="O41" s="73"/>
      <c r="P41" s="73"/>
      <c r="Q41" s="133"/>
      <c r="R41" s="133"/>
      <c r="S41" s="133"/>
      <c r="T41" s="133"/>
      <c r="U41" s="133"/>
      <c r="V41" s="133"/>
      <c r="W41" s="138"/>
      <c r="X41" s="138"/>
      <c r="Y41" s="138"/>
      <c r="Z41" s="159"/>
      <c r="AA41" s="160"/>
      <c r="AB41" s="161"/>
      <c r="AC41" s="156"/>
      <c r="AD41" s="156"/>
      <c r="AE41" s="156"/>
      <c r="AF41" s="156"/>
      <c r="AG41" s="156"/>
      <c r="AH41" s="156"/>
      <c r="AI41" s="156"/>
      <c r="AJ41" s="156"/>
      <c r="AK41" s="156"/>
      <c r="AL41" s="170"/>
      <c r="AM41" s="156"/>
      <c r="AN41" s="171"/>
      <c r="AO41" s="171"/>
      <c r="AP41" s="156"/>
      <c r="AQ41" s="156"/>
      <c r="AR41" s="133"/>
      <c r="AS41" s="135"/>
      <c r="AT41" s="133"/>
      <c r="AU41" s="133"/>
      <c r="AV41" s="133"/>
      <c r="AW41" s="133"/>
      <c r="AX41" s="138"/>
      <c r="AY41" s="138"/>
      <c r="AZ41" s="138"/>
      <c r="BA41" s="160"/>
      <c r="BB41" s="159"/>
    </row>
    <row r="42" spans="1:54" s="71" customFormat="1" ht="33.75" customHeight="1">
      <c r="A42" s="118"/>
      <c r="B42" s="73"/>
      <c r="C42" s="73"/>
      <c r="D42" s="73"/>
      <c r="E42" s="73"/>
      <c r="F42" s="73"/>
      <c r="G42" s="73"/>
      <c r="H42" s="119"/>
      <c r="I42" s="119"/>
      <c r="J42" s="119"/>
      <c r="K42" s="128"/>
      <c r="L42" s="73"/>
      <c r="M42" s="127"/>
      <c r="N42" s="127"/>
      <c r="O42" s="73"/>
      <c r="P42" s="73"/>
      <c r="Q42" s="133"/>
      <c r="R42" s="136"/>
      <c r="S42" s="133"/>
      <c r="T42" s="102"/>
      <c r="U42" s="133" t="e">
        <f>F39/E39</f>
        <v>#REF!</v>
      </c>
      <c r="V42" s="133" t="e">
        <f>(G39-F39)/F39</f>
        <v>#REF!</v>
      </c>
      <c r="W42" s="138"/>
      <c r="X42" s="138"/>
      <c r="Y42" s="162"/>
      <c r="Z42" s="159"/>
      <c r="AA42" s="160"/>
      <c r="AB42" s="161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71"/>
      <c r="AO42" s="171"/>
      <c r="AP42" s="156"/>
      <c r="AQ42" s="156"/>
      <c r="AR42" s="133" t="e">
        <f>(#REF!-#REF!)/#REF!</f>
        <v>#REF!</v>
      </c>
      <c r="AS42" s="133" t="e">
        <f>#REF!/#REF!</f>
        <v>#REF!</v>
      </c>
      <c r="AT42" s="133" t="e">
        <f>(#REF!-#REF!)/#REF!</f>
        <v>#REF!</v>
      </c>
      <c r="AU42" s="133"/>
      <c r="AV42" s="133"/>
      <c r="AW42" s="133"/>
      <c r="AX42" s="138"/>
      <c r="AY42" s="138"/>
      <c r="AZ42" s="138"/>
      <c r="BA42" s="160"/>
      <c r="BB42" s="159"/>
    </row>
    <row r="43" spans="1:54" s="71" customFormat="1" ht="33.75" customHeight="1">
      <c r="A43" s="118"/>
      <c r="B43" s="73"/>
      <c r="C43" s="73"/>
      <c r="D43" s="73"/>
      <c r="E43" s="73"/>
      <c r="F43" s="73"/>
      <c r="G43" s="73"/>
      <c r="H43" s="119"/>
      <c r="I43" s="119"/>
      <c r="J43" s="119"/>
      <c r="K43" s="129"/>
      <c r="L43" s="73"/>
      <c r="M43" s="127"/>
      <c r="N43" s="127"/>
      <c r="O43" s="73"/>
      <c r="P43" s="73"/>
      <c r="Q43" s="133"/>
      <c r="R43" s="135"/>
      <c r="S43" s="133"/>
      <c r="T43" s="102"/>
      <c r="U43" s="139"/>
      <c r="V43" s="139"/>
      <c r="W43" s="139"/>
      <c r="X43" s="139"/>
      <c r="Y43" s="139"/>
      <c r="Z43" s="163"/>
      <c r="AA43" s="164"/>
      <c r="AB43" s="161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71"/>
      <c r="AO43" s="171"/>
      <c r="AP43" s="156"/>
      <c r="AQ43" s="156"/>
      <c r="AR43" s="133"/>
      <c r="AS43" s="135"/>
      <c r="AT43" s="133"/>
      <c r="AU43" s="100">
        <v>0</v>
      </c>
      <c r="AV43" s="133" t="e">
        <f>#REF!/#REF!</f>
        <v>#REF!</v>
      </c>
      <c r="AW43" s="133" t="e">
        <f>(#REF!-#REF!)/#REF!</f>
        <v>#REF!</v>
      </c>
      <c r="AX43" s="138"/>
      <c r="AY43" s="138"/>
      <c r="AZ43" s="138"/>
      <c r="BA43" s="160"/>
      <c r="BB43" s="159"/>
    </row>
    <row r="44" spans="1:54" s="71" customFormat="1" ht="33.75" customHeight="1">
      <c r="A44" s="118"/>
      <c r="B44" s="73"/>
      <c r="C44" s="73"/>
      <c r="D44" s="73"/>
      <c r="E44" s="73"/>
      <c r="F44" s="73"/>
      <c r="G44" s="73"/>
      <c r="H44" s="119"/>
      <c r="I44" s="119"/>
      <c r="J44" s="119"/>
      <c r="K44" s="129"/>
      <c r="L44" s="73"/>
      <c r="M44" s="127"/>
      <c r="N44" s="127"/>
      <c r="O44" s="73"/>
      <c r="P44" s="73"/>
      <c r="Q44" s="133" t="e">
        <f>(H39-F39)/F39</f>
        <v>#REF!</v>
      </c>
      <c r="R44" s="140" t="e">
        <f>H39/G39</f>
        <v>#REF!</v>
      </c>
      <c r="S44" s="133">
        <f>(I39-H39)/H39</f>
        <v>-0.3286253666283158</v>
      </c>
      <c r="T44" s="133"/>
      <c r="U44" s="139"/>
      <c r="V44" s="139"/>
      <c r="W44" s="139"/>
      <c r="X44" s="139"/>
      <c r="Y44" s="139"/>
      <c r="Z44" s="163"/>
      <c r="AA44" s="164"/>
      <c r="AB44" s="161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71"/>
      <c r="AO44" s="171"/>
      <c r="AP44" s="156"/>
      <c r="AQ44" s="156"/>
      <c r="AR44" s="133" t="e">
        <f>(AI39-AG39)/AG39</f>
        <v>#REF!</v>
      </c>
      <c r="AS44" s="133" t="e">
        <f>AI39/AH39</f>
        <v>#REF!</v>
      </c>
      <c r="AT44" s="133" t="e">
        <f>(AJ39-AI39)/AI39</f>
        <v>#REF!</v>
      </c>
      <c r="AU44" s="133"/>
      <c r="AV44" s="133"/>
      <c r="AW44" s="133"/>
      <c r="AX44" s="138"/>
      <c r="AY44" s="138"/>
      <c r="AZ44" s="138"/>
      <c r="BA44" s="160"/>
      <c r="BB44" s="159"/>
    </row>
    <row r="45" spans="1:54" s="71" customFormat="1" ht="33.75" customHeight="1">
      <c r="A45" s="118"/>
      <c r="B45" s="73"/>
      <c r="C45" s="73"/>
      <c r="D45" s="73"/>
      <c r="E45" s="73"/>
      <c r="F45" s="73"/>
      <c r="G45" s="73"/>
      <c r="H45" s="119"/>
      <c r="I45" s="119"/>
      <c r="J45" s="119"/>
      <c r="K45" s="119"/>
      <c r="L45" s="73"/>
      <c r="M45" s="127"/>
      <c r="N45" s="127"/>
      <c r="O45" s="73"/>
      <c r="P45" s="73"/>
      <c r="Q45" s="139"/>
      <c r="R45" s="139"/>
      <c r="S45" s="139"/>
      <c r="T45" s="133" t="e">
        <f>(F39-D39)/D39</f>
        <v>#REF!</v>
      </c>
      <c r="U45" s="139"/>
      <c r="V45" s="139"/>
      <c r="W45" s="139"/>
      <c r="X45" s="139"/>
      <c r="Y45" s="139"/>
      <c r="Z45" s="163"/>
      <c r="AA45" s="164"/>
      <c r="AB45" s="161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71"/>
      <c r="AO45" s="171"/>
      <c r="AP45" s="156"/>
      <c r="AQ45" s="156"/>
      <c r="AR45" s="176"/>
      <c r="AS45" s="176"/>
      <c r="AT45" s="176"/>
      <c r="AU45" s="133" t="e">
        <f>(AG39-AE39)/AE39</f>
        <v>#REF!</v>
      </c>
      <c r="AV45" s="133" t="e">
        <f>AG39/AF39</f>
        <v>#REF!</v>
      </c>
      <c r="AW45" s="133" t="e">
        <f>(AH39-AG39)/AG39</f>
        <v>#REF!</v>
      </c>
      <c r="AX45" s="138"/>
      <c r="AY45" s="138"/>
      <c r="AZ45" s="138"/>
      <c r="BA45" s="160"/>
      <c r="BB45" s="159"/>
    </row>
    <row r="46" spans="1:54" s="71" customFormat="1" ht="33.75" customHeight="1">
      <c r="A46" s="118"/>
      <c r="B46" s="73"/>
      <c r="C46" s="73"/>
      <c r="D46" s="73"/>
      <c r="E46" s="73"/>
      <c r="F46" s="73"/>
      <c r="G46" s="73"/>
      <c r="H46" s="119"/>
      <c r="I46" s="119"/>
      <c r="J46" s="119"/>
      <c r="K46" s="119"/>
      <c r="L46" s="73"/>
      <c r="M46" s="127"/>
      <c r="N46" s="127"/>
      <c r="O46" s="73"/>
      <c r="P46" s="73"/>
      <c r="Q46" s="139"/>
      <c r="R46" s="139"/>
      <c r="S46" s="139"/>
      <c r="T46" s="73"/>
      <c r="U46" s="139"/>
      <c r="V46" s="139"/>
      <c r="W46" s="139"/>
      <c r="X46" s="139"/>
      <c r="Y46" s="139"/>
      <c r="Z46" s="163"/>
      <c r="AA46" s="164"/>
      <c r="AB46" s="161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71"/>
      <c r="AO46" s="171"/>
      <c r="AP46" s="156"/>
      <c r="AQ46" s="156"/>
      <c r="AR46" s="176"/>
      <c r="AS46" s="176"/>
      <c r="AT46" s="176"/>
      <c r="AU46" s="177"/>
      <c r="AV46" s="177"/>
      <c r="AW46" s="177"/>
      <c r="AX46" s="177"/>
      <c r="AY46" s="177"/>
      <c r="AZ46" s="177"/>
      <c r="BA46" s="177"/>
      <c r="BB46" s="182"/>
    </row>
    <row r="47" spans="1:54" s="71" customFormat="1" ht="33.75" customHeight="1">
      <c r="A47" s="118"/>
      <c r="B47" s="73"/>
      <c r="C47" s="73"/>
      <c r="D47" s="73"/>
      <c r="E47" s="73"/>
      <c r="F47" s="73"/>
      <c r="G47" s="73"/>
      <c r="H47" s="119"/>
      <c r="I47" s="119"/>
      <c r="J47" s="119"/>
      <c r="K47" s="119"/>
      <c r="L47" s="73"/>
      <c r="M47" s="127"/>
      <c r="N47" s="127"/>
      <c r="O47" s="73"/>
      <c r="P47" s="73"/>
      <c r="Q47" s="139"/>
      <c r="R47" s="139"/>
      <c r="S47" s="139"/>
      <c r="T47" s="73"/>
      <c r="U47" s="139"/>
      <c r="V47" s="139"/>
      <c r="W47" s="139"/>
      <c r="X47" s="139"/>
      <c r="Y47" s="139"/>
      <c r="Z47" s="163"/>
      <c r="AA47" s="164"/>
      <c r="AB47" s="161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71"/>
      <c r="AO47" s="171"/>
      <c r="AP47" s="156"/>
      <c r="AQ47" s="156"/>
      <c r="AR47" s="176"/>
      <c r="AS47" s="176"/>
      <c r="AT47" s="176"/>
      <c r="AU47" s="177"/>
      <c r="AV47" s="177"/>
      <c r="AW47" s="177"/>
      <c r="AX47" s="177"/>
      <c r="AY47" s="177"/>
      <c r="AZ47" s="177"/>
      <c r="BA47" s="177"/>
      <c r="BB47" s="182"/>
    </row>
    <row r="48" spans="1:54" s="71" customFormat="1" ht="33.75" customHeight="1">
      <c r="A48" s="118"/>
      <c r="B48" s="73"/>
      <c r="C48" s="73"/>
      <c r="D48" s="73"/>
      <c r="E48" s="73"/>
      <c r="F48" s="73"/>
      <c r="G48" s="73"/>
      <c r="H48" s="119"/>
      <c r="I48" s="119"/>
      <c r="J48" s="119"/>
      <c r="K48" s="119"/>
      <c r="L48" s="73"/>
      <c r="M48" s="127"/>
      <c r="N48" s="127"/>
      <c r="O48" s="73"/>
      <c r="P48" s="73"/>
      <c r="Q48" s="139"/>
      <c r="R48" s="139"/>
      <c r="S48" s="139"/>
      <c r="T48" s="73"/>
      <c r="U48" s="139"/>
      <c r="V48" s="139"/>
      <c r="W48" s="139"/>
      <c r="X48" s="139"/>
      <c r="Y48" s="139"/>
      <c r="Z48" s="163"/>
      <c r="AA48" s="164"/>
      <c r="AB48" s="161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71"/>
      <c r="AO48" s="171"/>
      <c r="AP48" s="156"/>
      <c r="AQ48" s="156"/>
      <c r="AR48" s="176"/>
      <c r="AS48" s="176"/>
      <c r="AT48" s="176"/>
      <c r="AU48" s="177"/>
      <c r="AV48" s="177"/>
      <c r="AW48" s="177"/>
      <c r="AX48" s="177"/>
      <c r="AY48" s="177"/>
      <c r="AZ48" s="177"/>
      <c r="BA48" s="177"/>
      <c r="BB48" s="182"/>
    </row>
    <row r="49" spans="1:54" s="71" customFormat="1" ht="33.75" customHeight="1">
      <c r="A49" s="118"/>
      <c r="B49" s="73"/>
      <c r="C49" s="73"/>
      <c r="D49" s="73"/>
      <c r="E49" s="73"/>
      <c r="F49" s="73"/>
      <c r="G49" s="73"/>
      <c r="H49" s="119"/>
      <c r="I49" s="119"/>
      <c r="J49" s="119"/>
      <c r="K49" s="119"/>
      <c r="L49" s="73"/>
      <c r="M49" s="127"/>
      <c r="N49" s="127"/>
      <c r="O49" s="73"/>
      <c r="P49" s="73"/>
      <c r="Q49" s="139"/>
      <c r="R49" s="139"/>
      <c r="S49" s="139"/>
      <c r="T49" s="73"/>
      <c r="U49" s="139"/>
      <c r="V49" s="139"/>
      <c r="W49" s="139"/>
      <c r="X49" s="139"/>
      <c r="Y49" s="139"/>
      <c r="Z49" s="163"/>
      <c r="AA49" s="164"/>
      <c r="AB49" s="161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71"/>
      <c r="AO49" s="171"/>
      <c r="AP49" s="156"/>
      <c r="AQ49" s="156"/>
      <c r="AR49" s="176"/>
      <c r="AS49" s="176"/>
      <c r="AT49" s="176"/>
      <c r="AU49" s="177"/>
      <c r="AV49" s="177"/>
      <c r="AW49" s="177"/>
      <c r="AX49" s="177"/>
      <c r="AY49" s="177"/>
      <c r="AZ49" s="177"/>
      <c r="BA49" s="177"/>
      <c r="BB49" s="182"/>
    </row>
    <row r="50" spans="1:54" s="71" customFormat="1" ht="33.75" customHeight="1">
      <c r="A50" s="118"/>
      <c r="B50" s="73"/>
      <c r="C50" s="73"/>
      <c r="D50" s="73"/>
      <c r="E50" s="73"/>
      <c r="F50" s="73"/>
      <c r="G50" s="73"/>
      <c r="H50" s="119"/>
      <c r="I50" s="119"/>
      <c r="J50" s="119"/>
      <c r="K50" s="119"/>
      <c r="L50" s="73"/>
      <c r="M50" s="127"/>
      <c r="N50" s="127"/>
      <c r="O50" s="73"/>
      <c r="P50" s="73"/>
      <c r="Q50" s="139"/>
      <c r="R50" s="139"/>
      <c r="S50" s="139"/>
      <c r="T50" s="73"/>
      <c r="U50" s="139"/>
      <c r="V50" s="139"/>
      <c r="W50" s="139"/>
      <c r="X50" s="139"/>
      <c r="Y50" s="139"/>
      <c r="Z50" s="163"/>
      <c r="AA50" s="164"/>
      <c r="AB50" s="118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71"/>
      <c r="AO50" s="171"/>
      <c r="AP50" s="156"/>
      <c r="AQ50" s="156"/>
      <c r="AR50" s="176"/>
      <c r="AS50" s="176"/>
      <c r="AT50" s="176"/>
      <c r="AU50" s="177"/>
      <c r="AV50" s="177"/>
      <c r="AW50" s="177"/>
      <c r="AX50" s="177"/>
      <c r="AY50" s="177"/>
      <c r="AZ50" s="177"/>
      <c r="BA50" s="177"/>
      <c r="BB50" s="182"/>
    </row>
    <row r="51" spans="1:54" s="71" customFormat="1" ht="33.75" customHeight="1">
      <c r="A51" s="118"/>
      <c r="B51" s="73"/>
      <c r="C51" s="73"/>
      <c r="D51" s="73"/>
      <c r="E51" s="73"/>
      <c r="F51" s="73"/>
      <c r="G51" s="73"/>
      <c r="H51" s="119"/>
      <c r="I51" s="119"/>
      <c r="J51" s="119"/>
      <c r="K51" s="119"/>
      <c r="L51" s="73"/>
      <c r="M51" s="127"/>
      <c r="N51" s="127"/>
      <c r="O51" s="73"/>
      <c r="P51" s="73"/>
      <c r="Q51" s="139"/>
      <c r="R51" s="139"/>
      <c r="S51" s="139"/>
      <c r="T51" s="73"/>
      <c r="U51" s="139"/>
      <c r="V51" s="139"/>
      <c r="W51" s="139"/>
      <c r="X51" s="139"/>
      <c r="Y51" s="139"/>
      <c r="Z51" s="163"/>
      <c r="AA51" s="164"/>
      <c r="AB51" s="118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71"/>
      <c r="AO51" s="171"/>
      <c r="AP51" s="156"/>
      <c r="AQ51" s="156"/>
      <c r="AR51" s="176"/>
      <c r="AS51" s="176"/>
      <c r="AT51" s="176"/>
      <c r="AU51" s="177"/>
      <c r="AV51" s="177"/>
      <c r="AW51" s="177"/>
      <c r="AX51" s="177"/>
      <c r="AY51" s="177"/>
      <c r="AZ51" s="177"/>
      <c r="BA51" s="177"/>
      <c r="BB51" s="182"/>
    </row>
    <row r="52" spans="1:54" s="71" customFormat="1" ht="29.25" customHeight="1">
      <c r="A52" s="118"/>
      <c r="B52" s="73"/>
      <c r="C52" s="73"/>
      <c r="D52" s="73"/>
      <c r="E52" s="73"/>
      <c r="F52" s="73"/>
      <c r="G52" s="73"/>
      <c r="H52" s="119"/>
      <c r="I52" s="119"/>
      <c r="J52" s="119"/>
      <c r="K52" s="119"/>
      <c r="L52" s="73"/>
      <c r="M52" s="127"/>
      <c r="N52" s="127"/>
      <c r="O52" s="73"/>
      <c r="P52" s="73"/>
      <c r="Q52" s="139"/>
      <c r="R52" s="139"/>
      <c r="S52" s="139"/>
      <c r="T52" s="73"/>
      <c r="U52" s="139"/>
      <c r="V52" s="139"/>
      <c r="W52" s="139"/>
      <c r="X52" s="139"/>
      <c r="Y52" s="139"/>
      <c r="Z52" s="163"/>
      <c r="AA52" s="164"/>
      <c r="AB52" s="118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71"/>
      <c r="AO52" s="171"/>
      <c r="AP52" s="156"/>
      <c r="AQ52" s="156"/>
      <c r="AR52" s="176"/>
      <c r="AS52" s="176"/>
      <c r="AT52" s="176"/>
      <c r="AU52" s="177"/>
      <c r="AV52" s="177"/>
      <c r="AW52" s="177"/>
      <c r="AX52" s="177"/>
      <c r="AY52" s="177"/>
      <c r="AZ52" s="177"/>
      <c r="BA52" s="177"/>
      <c r="BB52" s="182"/>
    </row>
    <row r="53" spans="1:54" s="72" customFormat="1" ht="29.25" customHeight="1">
      <c r="A53" s="118"/>
      <c r="B53" s="73"/>
      <c r="C53" s="73"/>
      <c r="D53" s="73"/>
      <c r="E53" s="73"/>
      <c r="F53" s="73"/>
      <c r="G53" s="73"/>
      <c r="H53" s="119"/>
      <c r="I53" s="119"/>
      <c r="J53" s="119"/>
      <c r="K53" s="119"/>
      <c r="L53" s="73"/>
      <c r="M53" s="127"/>
      <c r="N53" s="127"/>
      <c r="O53" s="73"/>
      <c r="P53" s="73"/>
      <c r="Q53" s="139"/>
      <c r="R53" s="139"/>
      <c r="S53" s="139"/>
      <c r="T53" s="73"/>
      <c r="U53" s="139"/>
      <c r="V53" s="139"/>
      <c r="W53" s="139"/>
      <c r="X53" s="139"/>
      <c r="Y53" s="139"/>
      <c r="Z53" s="163"/>
      <c r="AA53" s="164"/>
      <c r="AB53" s="118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71"/>
      <c r="AO53" s="171"/>
      <c r="AP53" s="156"/>
      <c r="AQ53" s="156"/>
      <c r="AR53" s="176"/>
      <c r="AS53" s="176"/>
      <c r="AT53" s="176"/>
      <c r="AU53" s="156"/>
      <c r="AV53" s="176"/>
      <c r="AW53" s="176"/>
      <c r="AX53" s="176"/>
      <c r="AY53" s="176"/>
      <c r="AZ53" s="176"/>
      <c r="BA53" s="177"/>
      <c r="BB53" s="182"/>
    </row>
    <row r="54" spans="1:54" s="73" customFormat="1" ht="29.25" customHeight="1">
      <c r="A54" s="74"/>
      <c r="B54" s="75"/>
      <c r="C54" s="75"/>
      <c r="D54" s="75"/>
      <c r="E54" s="75"/>
      <c r="F54" s="75"/>
      <c r="G54" s="75"/>
      <c r="H54" s="76"/>
      <c r="I54" s="76"/>
      <c r="J54" s="76"/>
      <c r="K54" s="76"/>
      <c r="L54" s="75"/>
      <c r="M54" s="77"/>
      <c r="N54" s="77"/>
      <c r="O54" s="75"/>
      <c r="P54" s="75"/>
      <c r="Q54" s="139"/>
      <c r="R54" s="139"/>
      <c r="S54" s="139"/>
      <c r="U54" s="139"/>
      <c r="V54" s="139"/>
      <c r="W54" s="139"/>
      <c r="X54" s="139"/>
      <c r="Y54" s="139"/>
      <c r="Z54" s="163"/>
      <c r="AA54" s="164"/>
      <c r="AB54" s="74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72"/>
      <c r="AO54" s="172"/>
      <c r="AP54" s="165"/>
      <c r="AQ54" s="165"/>
      <c r="AR54" s="176"/>
      <c r="AS54" s="176"/>
      <c r="AT54" s="176"/>
      <c r="AU54" s="156"/>
      <c r="AV54" s="176"/>
      <c r="AW54" s="176"/>
      <c r="AX54" s="176"/>
      <c r="AY54" s="176"/>
      <c r="AZ54" s="176"/>
      <c r="BA54" s="177"/>
      <c r="BB54" s="182"/>
    </row>
    <row r="55" spans="1:54" s="73" customFormat="1" ht="29.25" customHeight="1">
      <c r="A55" s="74"/>
      <c r="B55" s="75"/>
      <c r="C55" s="75"/>
      <c r="D55" s="75"/>
      <c r="E55" s="75"/>
      <c r="F55" s="75"/>
      <c r="G55" s="75"/>
      <c r="H55" s="76"/>
      <c r="I55" s="76"/>
      <c r="J55" s="76"/>
      <c r="K55" s="76"/>
      <c r="L55" s="75"/>
      <c r="M55" s="77"/>
      <c r="N55" s="77"/>
      <c r="O55" s="75"/>
      <c r="P55" s="75"/>
      <c r="Q55" s="139"/>
      <c r="R55" s="139"/>
      <c r="S55" s="139"/>
      <c r="U55" s="139"/>
      <c r="V55" s="139"/>
      <c r="W55" s="139"/>
      <c r="X55" s="139"/>
      <c r="Y55" s="139"/>
      <c r="Z55" s="163"/>
      <c r="AA55" s="164"/>
      <c r="AB55" s="74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72"/>
      <c r="AO55" s="172"/>
      <c r="AP55" s="165"/>
      <c r="AQ55" s="165"/>
      <c r="AR55" s="176"/>
      <c r="AS55" s="176"/>
      <c r="AT55" s="176"/>
      <c r="AU55" s="156"/>
      <c r="AV55" s="176"/>
      <c r="AW55" s="176"/>
      <c r="AX55" s="176"/>
      <c r="AY55" s="176"/>
      <c r="AZ55" s="176"/>
      <c r="BA55" s="177"/>
      <c r="BB55" s="182"/>
    </row>
    <row r="56" spans="1:54" s="73" customFormat="1" ht="29.25" customHeight="1">
      <c r="A56" s="74"/>
      <c r="B56" s="75"/>
      <c r="C56" s="75"/>
      <c r="D56" s="75"/>
      <c r="E56" s="75"/>
      <c r="F56" s="75"/>
      <c r="G56" s="75"/>
      <c r="H56" s="76"/>
      <c r="I56" s="76"/>
      <c r="J56" s="76"/>
      <c r="K56" s="76"/>
      <c r="L56" s="75"/>
      <c r="M56" s="77"/>
      <c r="N56" s="77"/>
      <c r="O56" s="75"/>
      <c r="P56" s="75"/>
      <c r="Q56" s="139"/>
      <c r="R56" s="139"/>
      <c r="S56" s="139"/>
      <c r="U56" s="139"/>
      <c r="V56" s="139"/>
      <c r="W56" s="139"/>
      <c r="X56" s="139"/>
      <c r="Y56" s="139"/>
      <c r="Z56" s="163"/>
      <c r="AA56" s="164"/>
      <c r="AB56" s="74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72"/>
      <c r="AO56" s="172"/>
      <c r="AP56" s="165"/>
      <c r="AQ56" s="165"/>
      <c r="AR56" s="176"/>
      <c r="AS56" s="176"/>
      <c r="AT56" s="176"/>
      <c r="AU56" s="156"/>
      <c r="AV56" s="176"/>
      <c r="AW56" s="176"/>
      <c r="AX56" s="176"/>
      <c r="AY56" s="176"/>
      <c r="AZ56" s="176"/>
      <c r="BA56" s="177"/>
      <c r="BB56" s="182"/>
    </row>
    <row r="57" spans="1:54" s="73" customFormat="1" ht="25.5" customHeight="1">
      <c r="A57" s="74"/>
      <c r="B57" s="75"/>
      <c r="C57" s="75"/>
      <c r="D57" s="75"/>
      <c r="E57" s="75"/>
      <c r="F57" s="75"/>
      <c r="G57" s="75"/>
      <c r="H57" s="76"/>
      <c r="I57" s="76"/>
      <c r="J57" s="76"/>
      <c r="K57" s="76"/>
      <c r="L57" s="75"/>
      <c r="M57" s="77"/>
      <c r="N57" s="77"/>
      <c r="O57" s="75"/>
      <c r="P57" s="75"/>
      <c r="Q57" s="139"/>
      <c r="R57" s="139"/>
      <c r="S57" s="139"/>
      <c r="U57" s="78"/>
      <c r="V57" s="78"/>
      <c r="W57" s="78"/>
      <c r="X57" s="78"/>
      <c r="Y57" s="78"/>
      <c r="Z57" s="79"/>
      <c r="AA57" s="80"/>
      <c r="AB57" s="74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72"/>
      <c r="AO57" s="172"/>
      <c r="AP57" s="165"/>
      <c r="AQ57" s="165"/>
      <c r="AR57" s="176"/>
      <c r="AS57" s="176"/>
      <c r="AT57" s="176"/>
      <c r="AU57" s="156"/>
      <c r="AV57" s="176"/>
      <c r="AW57" s="176"/>
      <c r="AX57" s="176"/>
      <c r="AY57" s="176"/>
      <c r="AZ57" s="176"/>
      <c r="BA57" s="177"/>
      <c r="BB57" s="182"/>
    </row>
    <row r="58" spans="1:54" s="73" customFormat="1" ht="25.5" customHeight="1">
      <c r="A58" s="74"/>
      <c r="B58" s="75"/>
      <c r="C58" s="75"/>
      <c r="D58" s="75"/>
      <c r="E58" s="75"/>
      <c r="F58" s="75"/>
      <c r="G58" s="75"/>
      <c r="H58" s="76"/>
      <c r="I58" s="76"/>
      <c r="J58" s="76"/>
      <c r="K58" s="76"/>
      <c r="L58" s="75"/>
      <c r="M58" s="77"/>
      <c r="N58" s="77"/>
      <c r="O58" s="75"/>
      <c r="P58" s="75"/>
      <c r="Q58" s="139"/>
      <c r="R58" s="139"/>
      <c r="S58" s="139"/>
      <c r="U58" s="78"/>
      <c r="V58" s="78"/>
      <c r="W58" s="78"/>
      <c r="X58" s="78"/>
      <c r="Y58" s="78"/>
      <c r="Z58" s="79"/>
      <c r="AA58" s="80"/>
      <c r="AB58" s="74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72"/>
      <c r="AO58" s="172"/>
      <c r="AP58" s="165"/>
      <c r="AQ58" s="165"/>
      <c r="AR58" s="176"/>
      <c r="AS58" s="176"/>
      <c r="AT58" s="176"/>
      <c r="AU58" s="156"/>
      <c r="AV58" s="176"/>
      <c r="AW58" s="176"/>
      <c r="AX58" s="176"/>
      <c r="AY58" s="176"/>
      <c r="AZ58" s="176"/>
      <c r="BA58" s="177"/>
      <c r="BB58" s="182"/>
    </row>
    <row r="59" spans="1:54" s="73" customFormat="1" ht="25.5" customHeight="1">
      <c r="A59" s="74"/>
      <c r="B59" s="75"/>
      <c r="C59" s="75"/>
      <c r="D59" s="75"/>
      <c r="E59" s="75"/>
      <c r="F59" s="75"/>
      <c r="G59" s="75"/>
      <c r="H59" s="76"/>
      <c r="I59" s="76"/>
      <c r="J59" s="76"/>
      <c r="K59" s="76"/>
      <c r="L59" s="75"/>
      <c r="M59" s="77"/>
      <c r="N59" s="77"/>
      <c r="O59" s="75"/>
      <c r="P59" s="75"/>
      <c r="Q59" s="78"/>
      <c r="R59" s="78"/>
      <c r="S59" s="78"/>
      <c r="U59" s="78"/>
      <c r="V59" s="78"/>
      <c r="W59" s="78"/>
      <c r="X59" s="78"/>
      <c r="Y59" s="78"/>
      <c r="Z59" s="79"/>
      <c r="AA59" s="80"/>
      <c r="AB59" s="74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72"/>
      <c r="AO59" s="172"/>
      <c r="AP59" s="165"/>
      <c r="AQ59" s="165"/>
      <c r="AR59" s="178"/>
      <c r="AS59" s="178"/>
      <c r="AT59" s="178"/>
      <c r="AU59" s="156"/>
      <c r="AV59" s="176"/>
      <c r="AW59" s="176"/>
      <c r="AX59" s="176"/>
      <c r="AY59" s="176"/>
      <c r="AZ59" s="176"/>
      <c r="BA59" s="177"/>
      <c r="BB59" s="182"/>
    </row>
    <row r="60" spans="1:54" s="73" customFormat="1" ht="25.5" customHeight="1">
      <c r="A60" s="74"/>
      <c r="B60" s="75"/>
      <c r="C60" s="75"/>
      <c r="D60" s="75"/>
      <c r="E60" s="75"/>
      <c r="F60" s="75"/>
      <c r="G60" s="75"/>
      <c r="H60" s="76"/>
      <c r="I60" s="76"/>
      <c r="J60" s="76"/>
      <c r="K60" s="76"/>
      <c r="L60" s="75"/>
      <c r="M60" s="77"/>
      <c r="N60" s="77"/>
      <c r="O60" s="75"/>
      <c r="P60" s="75"/>
      <c r="Q60" s="78"/>
      <c r="R60" s="78"/>
      <c r="S60" s="78"/>
      <c r="T60" s="75"/>
      <c r="U60" s="78"/>
      <c r="V60" s="78"/>
      <c r="W60" s="78"/>
      <c r="X60" s="78"/>
      <c r="Y60" s="78"/>
      <c r="Z60" s="79"/>
      <c r="AA60" s="80"/>
      <c r="AB60" s="74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72"/>
      <c r="AO60" s="172"/>
      <c r="AP60" s="165"/>
      <c r="AQ60" s="165"/>
      <c r="AR60" s="178"/>
      <c r="AS60" s="178"/>
      <c r="AT60" s="178"/>
      <c r="AU60" s="165"/>
      <c r="AV60" s="178"/>
      <c r="AW60" s="178"/>
      <c r="AX60" s="178"/>
      <c r="AY60" s="178"/>
      <c r="AZ60" s="178"/>
      <c r="BA60" s="183"/>
      <c r="BB60" s="184"/>
    </row>
    <row r="61" spans="1:54" s="73" customFormat="1" ht="25.5" customHeight="1">
      <c r="A61" s="74"/>
      <c r="B61" s="75"/>
      <c r="C61" s="75"/>
      <c r="D61" s="75"/>
      <c r="E61" s="75"/>
      <c r="F61" s="75"/>
      <c r="G61" s="75"/>
      <c r="H61" s="76"/>
      <c r="I61" s="76"/>
      <c r="J61" s="76"/>
      <c r="K61" s="76"/>
      <c r="L61" s="75"/>
      <c r="M61" s="77"/>
      <c r="N61" s="77"/>
      <c r="O61" s="75"/>
      <c r="P61" s="75"/>
      <c r="Q61" s="78"/>
      <c r="R61" s="78"/>
      <c r="S61" s="78"/>
      <c r="T61" s="75"/>
      <c r="U61" s="78"/>
      <c r="V61" s="78"/>
      <c r="W61" s="78"/>
      <c r="X61" s="78"/>
      <c r="Y61" s="78"/>
      <c r="Z61" s="79"/>
      <c r="AA61" s="80"/>
      <c r="AB61" s="74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72"/>
      <c r="AO61" s="172"/>
      <c r="AP61" s="165"/>
      <c r="AQ61" s="165"/>
      <c r="AR61" s="178"/>
      <c r="AS61" s="178"/>
      <c r="AT61" s="178"/>
      <c r="AU61" s="165"/>
      <c r="AV61" s="178"/>
      <c r="AW61" s="178"/>
      <c r="AX61" s="178"/>
      <c r="AY61" s="178"/>
      <c r="AZ61" s="178"/>
      <c r="BA61" s="183"/>
      <c r="BB61" s="184"/>
    </row>
    <row r="62" spans="1:54" s="73" customFormat="1" ht="25.5" customHeight="1">
      <c r="A62" s="74"/>
      <c r="B62" s="75"/>
      <c r="C62" s="75"/>
      <c r="D62" s="75"/>
      <c r="E62" s="75"/>
      <c r="F62" s="75"/>
      <c r="G62" s="75"/>
      <c r="H62" s="76"/>
      <c r="I62" s="76"/>
      <c r="J62" s="76"/>
      <c r="K62" s="76"/>
      <c r="L62" s="75"/>
      <c r="M62" s="77"/>
      <c r="N62" s="77"/>
      <c r="O62" s="75"/>
      <c r="P62" s="75"/>
      <c r="Q62" s="78"/>
      <c r="R62" s="78"/>
      <c r="S62" s="78"/>
      <c r="T62" s="75"/>
      <c r="U62" s="78"/>
      <c r="V62" s="78"/>
      <c r="W62" s="78"/>
      <c r="X62" s="78"/>
      <c r="Y62" s="78"/>
      <c r="Z62" s="79"/>
      <c r="AA62" s="80"/>
      <c r="AB62" s="74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72"/>
      <c r="AO62" s="172"/>
      <c r="AP62" s="165"/>
      <c r="AQ62" s="165"/>
      <c r="AR62" s="178"/>
      <c r="AS62" s="178"/>
      <c r="AT62" s="178"/>
      <c r="AU62" s="165"/>
      <c r="AV62" s="178"/>
      <c r="AW62" s="178"/>
      <c r="AX62" s="178"/>
      <c r="AY62" s="178"/>
      <c r="AZ62" s="178"/>
      <c r="BA62" s="183"/>
      <c r="BB62" s="184"/>
    </row>
    <row r="63" spans="1:54" s="73" customFormat="1" ht="25.5" customHeight="1">
      <c r="A63" s="74"/>
      <c r="B63" s="75"/>
      <c r="C63" s="75"/>
      <c r="D63" s="75"/>
      <c r="E63" s="75"/>
      <c r="F63" s="75"/>
      <c r="G63" s="75"/>
      <c r="H63" s="76"/>
      <c r="I63" s="76"/>
      <c r="J63" s="76"/>
      <c r="K63" s="76"/>
      <c r="L63" s="75"/>
      <c r="M63" s="77"/>
      <c r="N63" s="77"/>
      <c r="O63" s="75"/>
      <c r="P63" s="75"/>
      <c r="Q63" s="78"/>
      <c r="R63" s="78"/>
      <c r="S63" s="78"/>
      <c r="T63" s="75"/>
      <c r="U63" s="78"/>
      <c r="V63" s="78"/>
      <c r="W63" s="78"/>
      <c r="X63" s="78"/>
      <c r="Y63" s="78"/>
      <c r="Z63" s="79"/>
      <c r="AA63" s="80"/>
      <c r="AB63" s="74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72"/>
      <c r="AO63" s="172"/>
      <c r="AP63" s="165"/>
      <c r="AQ63" s="165"/>
      <c r="AR63" s="178"/>
      <c r="AS63" s="178"/>
      <c r="AT63" s="178"/>
      <c r="AU63" s="165"/>
      <c r="AV63" s="178"/>
      <c r="AW63" s="178"/>
      <c r="AX63" s="178"/>
      <c r="AY63" s="178"/>
      <c r="AZ63" s="178"/>
      <c r="BA63" s="183"/>
      <c r="BB63" s="184"/>
    </row>
    <row r="64" spans="1:54" s="73" customFormat="1" ht="25.5" customHeight="1">
      <c r="A64" s="74"/>
      <c r="B64" s="75"/>
      <c r="C64" s="75"/>
      <c r="D64" s="75"/>
      <c r="E64" s="75"/>
      <c r="F64" s="75"/>
      <c r="G64" s="75"/>
      <c r="H64" s="76"/>
      <c r="I64" s="76"/>
      <c r="J64" s="76"/>
      <c r="K64" s="76"/>
      <c r="L64" s="75"/>
      <c r="M64" s="77"/>
      <c r="N64" s="77"/>
      <c r="O64" s="75"/>
      <c r="P64" s="75"/>
      <c r="Q64" s="78"/>
      <c r="R64" s="78"/>
      <c r="S64" s="78"/>
      <c r="T64" s="75"/>
      <c r="U64" s="78"/>
      <c r="V64" s="78"/>
      <c r="W64" s="78"/>
      <c r="X64" s="78"/>
      <c r="Y64" s="78"/>
      <c r="Z64" s="79"/>
      <c r="AA64" s="80"/>
      <c r="AB64" s="74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72"/>
      <c r="AO64" s="172"/>
      <c r="AP64" s="165"/>
      <c r="AQ64" s="165"/>
      <c r="AR64" s="178"/>
      <c r="AS64" s="178"/>
      <c r="AT64" s="178"/>
      <c r="AU64" s="165"/>
      <c r="AV64" s="178"/>
      <c r="AW64" s="178"/>
      <c r="AX64" s="178"/>
      <c r="AY64" s="178"/>
      <c r="AZ64" s="178"/>
      <c r="BA64" s="183"/>
      <c r="BB64" s="184"/>
    </row>
    <row r="65" spans="1:54" s="73" customFormat="1" ht="25.5" customHeight="1">
      <c r="A65" s="74"/>
      <c r="B65" s="75"/>
      <c r="C65" s="75"/>
      <c r="D65" s="75"/>
      <c r="E65" s="75"/>
      <c r="F65" s="75"/>
      <c r="G65" s="75"/>
      <c r="H65" s="76"/>
      <c r="I65" s="76"/>
      <c r="J65" s="76"/>
      <c r="K65" s="76"/>
      <c r="L65" s="75"/>
      <c r="M65" s="77"/>
      <c r="N65" s="77"/>
      <c r="O65" s="75"/>
      <c r="P65" s="75"/>
      <c r="Q65" s="78"/>
      <c r="R65" s="78"/>
      <c r="S65" s="78"/>
      <c r="T65" s="75"/>
      <c r="U65" s="78"/>
      <c r="V65" s="78"/>
      <c r="W65" s="78"/>
      <c r="X65" s="78"/>
      <c r="Y65" s="78"/>
      <c r="Z65" s="79"/>
      <c r="AA65" s="80"/>
      <c r="AB65" s="74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72"/>
      <c r="AO65" s="172"/>
      <c r="AP65" s="165"/>
      <c r="AQ65" s="165"/>
      <c r="AR65" s="178"/>
      <c r="AS65" s="178"/>
      <c r="AT65" s="178"/>
      <c r="AU65" s="165"/>
      <c r="AV65" s="178"/>
      <c r="AW65" s="178"/>
      <c r="AX65" s="178"/>
      <c r="AY65" s="178"/>
      <c r="AZ65" s="178"/>
      <c r="BA65" s="183"/>
      <c r="BB65" s="184"/>
    </row>
    <row r="66" spans="1:54" s="73" customFormat="1" ht="25.5" customHeight="1">
      <c r="A66" s="74"/>
      <c r="B66" s="75"/>
      <c r="C66" s="75"/>
      <c r="D66" s="75"/>
      <c r="E66" s="75"/>
      <c r="F66" s="75"/>
      <c r="G66" s="75"/>
      <c r="H66" s="76"/>
      <c r="I66" s="76"/>
      <c r="J66" s="76"/>
      <c r="K66" s="76"/>
      <c r="L66" s="75"/>
      <c r="M66" s="77"/>
      <c r="N66" s="77"/>
      <c r="O66" s="75"/>
      <c r="P66" s="75"/>
      <c r="Q66" s="78"/>
      <c r="R66" s="78"/>
      <c r="S66" s="78"/>
      <c r="T66" s="75"/>
      <c r="U66" s="78"/>
      <c r="V66" s="78"/>
      <c r="W66" s="78"/>
      <c r="X66" s="78"/>
      <c r="Y66" s="78"/>
      <c r="Z66" s="79"/>
      <c r="AA66" s="80"/>
      <c r="AB66" s="74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72"/>
      <c r="AO66" s="172"/>
      <c r="AP66" s="165"/>
      <c r="AQ66" s="165"/>
      <c r="AR66" s="178"/>
      <c r="AS66" s="178"/>
      <c r="AT66" s="178"/>
      <c r="AU66" s="165"/>
      <c r="AV66" s="178"/>
      <c r="AW66" s="178"/>
      <c r="AX66" s="178"/>
      <c r="AY66" s="178"/>
      <c r="AZ66" s="178"/>
      <c r="BA66" s="183"/>
      <c r="BB66" s="184"/>
    </row>
    <row r="67" spans="1:54" s="73" customFormat="1" ht="25.5" customHeight="1">
      <c r="A67" s="74"/>
      <c r="B67" s="75"/>
      <c r="C67" s="75"/>
      <c r="D67" s="75"/>
      <c r="E67" s="75"/>
      <c r="F67" s="75"/>
      <c r="G67" s="75"/>
      <c r="H67" s="76"/>
      <c r="I67" s="76"/>
      <c r="J67" s="76"/>
      <c r="K67" s="76"/>
      <c r="L67" s="75"/>
      <c r="M67" s="77"/>
      <c r="N67" s="77"/>
      <c r="O67" s="75"/>
      <c r="P67" s="75"/>
      <c r="Q67" s="78"/>
      <c r="R67" s="78"/>
      <c r="S67" s="78"/>
      <c r="T67" s="75"/>
      <c r="U67" s="78"/>
      <c r="V67" s="78"/>
      <c r="W67" s="78"/>
      <c r="X67" s="78"/>
      <c r="Y67" s="78"/>
      <c r="Z67" s="79"/>
      <c r="AA67" s="80"/>
      <c r="AB67" s="74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72"/>
      <c r="AO67" s="172"/>
      <c r="AP67" s="165"/>
      <c r="AQ67" s="165"/>
      <c r="AR67" s="178"/>
      <c r="AS67" s="178"/>
      <c r="AT67" s="178"/>
      <c r="AU67" s="165"/>
      <c r="AV67" s="178"/>
      <c r="AW67" s="178"/>
      <c r="AX67" s="178"/>
      <c r="AY67" s="178"/>
      <c r="AZ67" s="178"/>
      <c r="BA67" s="183"/>
      <c r="BB67" s="184"/>
    </row>
    <row r="68" spans="29:54" ht="25.5" customHeight="1"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72"/>
      <c r="AO68" s="172"/>
      <c r="AP68" s="165"/>
      <c r="AQ68" s="165"/>
      <c r="AR68" s="178"/>
      <c r="AS68" s="178"/>
      <c r="AT68" s="178"/>
      <c r="AU68" s="165"/>
      <c r="AV68" s="178"/>
      <c r="AW68" s="178"/>
      <c r="AX68" s="178"/>
      <c r="AY68" s="178"/>
      <c r="AZ68" s="178"/>
      <c r="BA68" s="183"/>
      <c r="BB68" s="184"/>
    </row>
    <row r="69" spans="29:54" ht="25.5" customHeight="1"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72"/>
      <c r="AO69" s="172"/>
      <c r="AP69" s="165"/>
      <c r="AQ69" s="165"/>
      <c r="AR69" s="178"/>
      <c r="AS69" s="178"/>
      <c r="AT69" s="178"/>
      <c r="AU69" s="165"/>
      <c r="AV69" s="178"/>
      <c r="AW69" s="178"/>
      <c r="AX69" s="178"/>
      <c r="AY69" s="178"/>
      <c r="AZ69" s="178"/>
      <c r="BA69" s="183"/>
      <c r="BB69" s="184"/>
    </row>
    <row r="70" spans="29:54" ht="25.5" customHeight="1"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72"/>
      <c r="AO70" s="172"/>
      <c r="AP70" s="165"/>
      <c r="AQ70" s="165"/>
      <c r="AR70" s="178"/>
      <c r="AS70" s="178"/>
      <c r="AT70" s="178"/>
      <c r="AU70" s="165"/>
      <c r="AV70" s="178"/>
      <c r="AW70" s="178"/>
      <c r="AX70" s="178"/>
      <c r="AY70" s="178"/>
      <c r="AZ70" s="178"/>
      <c r="BA70" s="183"/>
      <c r="BB70" s="184"/>
    </row>
    <row r="71" spans="29:54" ht="25.5" customHeight="1"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72"/>
      <c r="AO71" s="172"/>
      <c r="AP71" s="165"/>
      <c r="AQ71" s="165"/>
      <c r="AR71" s="178"/>
      <c r="AS71" s="178"/>
      <c r="AT71" s="178"/>
      <c r="AU71" s="165"/>
      <c r="AV71" s="178"/>
      <c r="AW71" s="178"/>
      <c r="AX71" s="178"/>
      <c r="AY71" s="178"/>
      <c r="AZ71" s="178"/>
      <c r="BA71" s="183"/>
      <c r="BB71" s="184"/>
    </row>
    <row r="72" spans="29:54" ht="25.5" customHeight="1"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72"/>
      <c r="AO72" s="172"/>
      <c r="AP72" s="165"/>
      <c r="AQ72" s="165"/>
      <c r="AR72" s="178"/>
      <c r="AS72" s="178"/>
      <c r="AT72" s="178"/>
      <c r="AU72" s="165"/>
      <c r="AV72" s="178"/>
      <c r="AW72" s="178"/>
      <c r="AX72" s="178"/>
      <c r="AY72" s="178"/>
      <c r="AZ72" s="178"/>
      <c r="BA72" s="183"/>
      <c r="BB72" s="184"/>
    </row>
    <row r="73" spans="29:54" ht="25.5" customHeight="1"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72"/>
      <c r="AO73" s="172"/>
      <c r="AP73" s="165"/>
      <c r="AQ73" s="165"/>
      <c r="AR73" s="178"/>
      <c r="AS73" s="178"/>
      <c r="AT73" s="178"/>
      <c r="AU73" s="165"/>
      <c r="AV73" s="178"/>
      <c r="AW73" s="178"/>
      <c r="AX73" s="178"/>
      <c r="AY73" s="178"/>
      <c r="AZ73" s="178"/>
      <c r="BA73" s="183"/>
      <c r="BB73" s="184"/>
    </row>
    <row r="74" spans="29:54" ht="25.5" customHeight="1"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72"/>
      <c r="AO74" s="172"/>
      <c r="AP74" s="165"/>
      <c r="AQ74" s="165"/>
      <c r="AR74" s="178"/>
      <c r="AS74" s="178"/>
      <c r="AT74" s="178"/>
      <c r="AU74" s="165"/>
      <c r="AV74" s="178"/>
      <c r="AW74" s="178"/>
      <c r="AX74" s="178"/>
      <c r="AY74" s="178"/>
      <c r="AZ74" s="178"/>
      <c r="BA74" s="183"/>
      <c r="BB74" s="184"/>
    </row>
    <row r="75" spans="29:54" ht="25.5" customHeight="1"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72"/>
      <c r="AO75" s="172"/>
      <c r="AP75" s="165"/>
      <c r="AQ75" s="165"/>
      <c r="AR75" s="178"/>
      <c r="AS75" s="178"/>
      <c r="AT75" s="178"/>
      <c r="AU75" s="165"/>
      <c r="AV75" s="178"/>
      <c r="AW75" s="178"/>
      <c r="AX75" s="178"/>
      <c r="AY75" s="178"/>
      <c r="AZ75" s="178"/>
      <c r="BA75" s="183"/>
      <c r="BB75" s="184"/>
    </row>
    <row r="76" spans="29:54" ht="25.5" customHeight="1"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72"/>
      <c r="AO76" s="172"/>
      <c r="AP76" s="165"/>
      <c r="AQ76" s="165"/>
      <c r="AR76" s="178"/>
      <c r="AS76" s="178"/>
      <c r="AT76" s="178"/>
      <c r="AU76" s="165"/>
      <c r="AV76" s="178"/>
      <c r="AW76" s="178"/>
      <c r="AX76" s="178"/>
      <c r="AY76" s="178"/>
      <c r="AZ76" s="178"/>
      <c r="BA76" s="183"/>
      <c r="BB76" s="184"/>
    </row>
    <row r="77" spans="29:54" ht="25.5" customHeight="1"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72"/>
      <c r="AO77" s="172"/>
      <c r="AP77" s="165"/>
      <c r="AQ77" s="165"/>
      <c r="AR77" s="178"/>
      <c r="AS77" s="178"/>
      <c r="AT77" s="178"/>
      <c r="AU77" s="165"/>
      <c r="AV77" s="178"/>
      <c r="AW77" s="178"/>
      <c r="AX77" s="178"/>
      <c r="AY77" s="178"/>
      <c r="AZ77" s="178"/>
      <c r="BA77" s="183"/>
      <c r="BB77" s="184"/>
    </row>
    <row r="78" spans="29:54" ht="25.5" customHeight="1"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72"/>
      <c r="AO78" s="172"/>
      <c r="AP78" s="165"/>
      <c r="AQ78" s="165"/>
      <c r="AR78" s="178"/>
      <c r="AS78" s="178"/>
      <c r="AT78" s="178"/>
      <c r="AU78" s="165"/>
      <c r="AV78" s="178"/>
      <c r="AW78" s="178"/>
      <c r="AX78" s="178"/>
      <c r="AY78" s="178"/>
      <c r="AZ78" s="178"/>
      <c r="BA78" s="183"/>
      <c r="BB78" s="184"/>
    </row>
    <row r="79" spans="29:54" ht="25.5" customHeight="1"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72"/>
      <c r="AO79" s="172"/>
      <c r="AP79" s="165"/>
      <c r="AQ79" s="165"/>
      <c r="AR79" s="178"/>
      <c r="AS79" s="178"/>
      <c r="AT79" s="178"/>
      <c r="AU79" s="165"/>
      <c r="AV79" s="178"/>
      <c r="AW79" s="178"/>
      <c r="AX79" s="178"/>
      <c r="AY79" s="178"/>
      <c r="AZ79" s="178"/>
      <c r="BA79" s="183"/>
      <c r="BB79" s="184"/>
    </row>
    <row r="80" spans="29:54" ht="25.5" customHeight="1"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72"/>
      <c r="AO80" s="172"/>
      <c r="AP80" s="165"/>
      <c r="AQ80" s="165"/>
      <c r="AR80" s="178"/>
      <c r="AS80" s="178"/>
      <c r="AT80" s="178"/>
      <c r="AU80" s="165"/>
      <c r="AV80" s="178"/>
      <c r="AW80" s="178"/>
      <c r="AX80" s="178"/>
      <c r="AY80" s="178"/>
      <c r="AZ80" s="178"/>
      <c r="BA80" s="183"/>
      <c r="BB80" s="184"/>
    </row>
    <row r="81" spans="29:54" ht="25.5" customHeight="1"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72"/>
      <c r="AO81" s="172"/>
      <c r="AP81" s="165"/>
      <c r="AQ81" s="165"/>
      <c r="AR81" s="178"/>
      <c r="AS81" s="178"/>
      <c r="AT81" s="178"/>
      <c r="AU81" s="165"/>
      <c r="AV81" s="178"/>
      <c r="AW81" s="178"/>
      <c r="AX81" s="178"/>
      <c r="AY81" s="178"/>
      <c r="AZ81" s="178"/>
      <c r="BA81" s="183"/>
      <c r="BB81" s="184"/>
    </row>
    <row r="82" spans="29:54" ht="25.5" customHeight="1"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72"/>
      <c r="AO82" s="172"/>
      <c r="AP82" s="165"/>
      <c r="AQ82" s="165"/>
      <c r="AR82" s="178"/>
      <c r="AS82" s="178"/>
      <c r="AT82" s="178"/>
      <c r="AU82" s="165"/>
      <c r="AV82" s="178"/>
      <c r="AW82" s="178"/>
      <c r="AX82" s="178"/>
      <c r="AY82" s="178"/>
      <c r="AZ82" s="178"/>
      <c r="BA82" s="183"/>
      <c r="BB82" s="184"/>
    </row>
    <row r="83" spans="29:54" ht="25.5" customHeight="1"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72"/>
      <c r="AO83" s="172"/>
      <c r="AP83" s="165"/>
      <c r="AQ83" s="165"/>
      <c r="AR83" s="178"/>
      <c r="AS83" s="178"/>
      <c r="AT83" s="178"/>
      <c r="AU83" s="165"/>
      <c r="AV83" s="178"/>
      <c r="AW83" s="178"/>
      <c r="AX83" s="178"/>
      <c r="AY83" s="178"/>
      <c r="AZ83" s="178"/>
      <c r="BA83" s="183"/>
      <c r="BB83" s="184"/>
    </row>
    <row r="84" spans="29:54" ht="25.5" customHeight="1"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72"/>
      <c r="AO84" s="172"/>
      <c r="AP84" s="165"/>
      <c r="AQ84" s="165"/>
      <c r="AR84" s="178"/>
      <c r="AS84" s="178"/>
      <c r="AT84" s="178"/>
      <c r="AU84" s="165"/>
      <c r="AV84" s="178"/>
      <c r="AW84" s="178"/>
      <c r="AX84" s="178"/>
      <c r="AY84" s="178"/>
      <c r="AZ84" s="178"/>
      <c r="BA84" s="183"/>
      <c r="BB84" s="184"/>
    </row>
    <row r="85" spans="29:54" ht="25.5" customHeight="1"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72"/>
      <c r="AO85" s="172"/>
      <c r="AP85" s="165"/>
      <c r="AQ85" s="165"/>
      <c r="AR85" s="178"/>
      <c r="AS85" s="178"/>
      <c r="AT85" s="178"/>
      <c r="AU85" s="165"/>
      <c r="AV85" s="178"/>
      <c r="AW85" s="178"/>
      <c r="AX85" s="178"/>
      <c r="AY85" s="178"/>
      <c r="AZ85" s="178"/>
      <c r="BA85" s="183"/>
      <c r="BB85" s="184"/>
    </row>
    <row r="86" spans="29:54" ht="25.5" customHeight="1"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72"/>
      <c r="AO86" s="172"/>
      <c r="AP86" s="165"/>
      <c r="AQ86" s="165"/>
      <c r="AR86" s="178"/>
      <c r="AS86" s="178"/>
      <c r="AT86" s="178"/>
      <c r="AU86" s="165"/>
      <c r="AV86" s="178"/>
      <c r="AW86" s="178"/>
      <c r="AX86" s="178"/>
      <c r="AY86" s="178"/>
      <c r="AZ86" s="178"/>
      <c r="BA86" s="183"/>
      <c r="BB86" s="184"/>
    </row>
    <row r="87" spans="29:54" ht="25.5" customHeight="1"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72"/>
      <c r="AO87" s="172"/>
      <c r="AP87" s="165"/>
      <c r="AQ87" s="165"/>
      <c r="AR87" s="178"/>
      <c r="AS87" s="178"/>
      <c r="AT87" s="178"/>
      <c r="AU87" s="165"/>
      <c r="AV87" s="178"/>
      <c r="AW87" s="178"/>
      <c r="AX87" s="178"/>
      <c r="AY87" s="178"/>
      <c r="AZ87" s="178"/>
      <c r="BA87" s="183"/>
      <c r="BB87" s="184"/>
    </row>
    <row r="88" spans="29:54" ht="25.5" customHeight="1"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72"/>
      <c r="AO88" s="172"/>
      <c r="AP88" s="165"/>
      <c r="AQ88" s="165"/>
      <c r="AR88" s="178"/>
      <c r="AS88" s="178"/>
      <c r="AT88" s="178"/>
      <c r="AU88" s="165"/>
      <c r="AV88" s="178"/>
      <c r="AW88" s="178"/>
      <c r="AX88" s="178"/>
      <c r="AY88" s="178"/>
      <c r="AZ88" s="178"/>
      <c r="BA88" s="183"/>
      <c r="BB88" s="184"/>
    </row>
    <row r="89" spans="29:54" ht="25.5" customHeight="1"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72"/>
      <c r="AO89" s="172"/>
      <c r="AP89" s="165"/>
      <c r="AQ89" s="165"/>
      <c r="AR89" s="178"/>
      <c r="AS89" s="178"/>
      <c r="AT89" s="178"/>
      <c r="AU89" s="165"/>
      <c r="AV89" s="178"/>
      <c r="AW89" s="178"/>
      <c r="AX89" s="178"/>
      <c r="AY89" s="178"/>
      <c r="AZ89" s="178"/>
      <c r="BA89" s="183"/>
      <c r="BB89" s="184"/>
    </row>
    <row r="90" spans="29:54" ht="25.5" customHeight="1"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72"/>
      <c r="AO90" s="172"/>
      <c r="AP90" s="165"/>
      <c r="AQ90" s="165"/>
      <c r="AR90" s="178"/>
      <c r="AS90" s="178"/>
      <c r="AT90" s="178"/>
      <c r="AU90" s="165"/>
      <c r="AV90" s="178"/>
      <c r="AW90" s="178"/>
      <c r="AX90" s="178"/>
      <c r="AY90" s="178"/>
      <c r="AZ90" s="178"/>
      <c r="BA90" s="183"/>
      <c r="BB90" s="184"/>
    </row>
    <row r="91" spans="29:54" ht="25.5" customHeight="1"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72"/>
      <c r="AO91" s="172"/>
      <c r="AP91" s="165"/>
      <c r="AQ91" s="165"/>
      <c r="AR91" s="178"/>
      <c r="AS91" s="178"/>
      <c r="AT91" s="178"/>
      <c r="AU91" s="165"/>
      <c r="AV91" s="178"/>
      <c r="AW91" s="178"/>
      <c r="AX91" s="178"/>
      <c r="AY91" s="178"/>
      <c r="AZ91" s="178"/>
      <c r="BA91" s="183"/>
      <c r="BB91" s="184"/>
    </row>
    <row r="92" spans="29:54" ht="25.5" customHeight="1"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72"/>
      <c r="AO92" s="172"/>
      <c r="AP92" s="165"/>
      <c r="AQ92" s="165"/>
      <c r="AR92" s="178"/>
      <c r="AS92" s="178"/>
      <c r="AT92" s="178"/>
      <c r="AU92" s="165"/>
      <c r="AV92" s="178"/>
      <c r="AW92" s="178"/>
      <c r="AX92" s="178"/>
      <c r="AY92" s="178"/>
      <c r="AZ92" s="178"/>
      <c r="BA92" s="183"/>
      <c r="BB92" s="184"/>
    </row>
    <row r="93" spans="29:54" ht="25.5" customHeight="1"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72"/>
      <c r="AO93" s="172"/>
      <c r="AP93" s="165"/>
      <c r="AQ93" s="165"/>
      <c r="AR93" s="178"/>
      <c r="AS93" s="178"/>
      <c r="AT93" s="178"/>
      <c r="AU93" s="165"/>
      <c r="AV93" s="178"/>
      <c r="AW93" s="178"/>
      <c r="AX93" s="178"/>
      <c r="AY93" s="178"/>
      <c r="AZ93" s="178"/>
      <c r="BA93" s="183"/>
      <c r="BB93" s="184"/>
    </row>
    <row r="94" spans="29:54" ht="25.5" customHeight="1"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72"/>
      <c r="AO94" s="172"/>
      <c r="AP94" s="165"/>
      <c r="AQ94" s="165"/>
      <c r="AR94" s="178"/>
      <c r="AS94" s="178"/>
      <c r="AT94" s="178"/>
      <c r="AU94" s="165"/>
      <c r="AV94" s="178"/>
      <c r="AW94" s="178"/>
      <c r="AX94" s="178"/>
      <c r="AY94" s="178"/>
      <c r="AZ94" s="178"/>
      <c r="BA94" s="183"/>
      <c r="BB94" s="184"/>
    </row>
    <row r="95" spans="29:54" ht="25.5" customHeight="1"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72"/>
      <c r="AO95" s="172"/>
      <c r="AP95" s="165"/>
      <c r="AQ95" s="165"/>
      <c r="AR95" s="178"/>
      <c r="AS95" s="178"/>
      <c r="AT95" s="178"/>
      <c r="AU95" s="165"/>
      <c r="AV95" s="178"/>
      <c r="AW95" s="178"/>
      <c r="AX95" s="178"/>
      <c r="AY95" s="178"/>
      <c r="AZ95" s="178"/>
      <c r="BA95" s="183"/>
      <c r="BB95" s="184"/>
    </row>
    <row r="96" spans="29:54" ht="25.5" customHeight="1"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72"/>
      <c r="AO96" s="172"/>
      <c r="AP96" s="165"/>
      <c r="AQ96" s="165"/>
      <c r="AR96" s="178"/>
      <c r="AS96" s="178"/>
      <c r="AT96" s="178"/>
      <c r="AU96" s="165"/>
      <c r="AV96" s="178"/>
      <c r="AW96" s="178"/>
      <c r="AX96" s="178"/>
      <c r="AY96" s="178"/>
      <c r="AZ96" s="178"/>
      <c r="BA96" s="183"/>
      <c r="BB96" s="184"/>
    </row>
    <row r="97" spans="29:54" ht="25.5" customHeight="1"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72"/>
      <c r="AO97" s="172"/>
      <c r="AP97" s="165"/>
      <c r="AQ97" s="165"/>
      <c r="AR97" s="178"/>
      <c r="AS97" s="178"/>
      <c r="AT97" s="178"/>
      <c r="AU97" s="165"/>
      <c r="AV97" s="178"/>
      <c r="AW97" s="178"/>
      <c r="AX97" s="178"/>
      <c r="AY97" s="178"/>
      <c r="AZ97" s="178"/>
      <c r="BA97" s="183"/>
      <c r="BB97" s="184"/>
    </row>
    <row r="98" spans="29:54" ht="25.5" customHeight="1"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72"/>
      <c r="AO98" s="172"/>
      <c r="AP98" s="165"/>
      <c r="AQ98" s="165"/>
      <c r="AR98" s="178"/>
      <c r="AS98" s="178"/>
      <c r="AT98" s="178"/>
      <c r="AU98" s="165"/>
      <c r="AV98" s="178"/>
      <c r="AW98" s="178"/>
      <c r="AX98" s="178"/>
      <c r="AY98" s="178"/>
      <c r="AZ98" s="178"/>
      <c r="BA98" s="183"/>
      <c r="BB98" s="184"/>
    </row>
    <row r="99" spans="29:54" ht="25.5" customHeight="1"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72"/>
      <c r="AO99" s="172"/>
      <c r="AP99" s="165"/>
      <c r="AQ99" s="165"/>
      <c r="AR99" s="178"/>
      <c r="AS99" s="178"/>
      <c r="AT99" s="178"/>
      <c r="AU99" s="165"/>
      <c r="AV99" s="178"/>
      <c r="AW99" s="178"/>
      <c r="AX99" s="178"/>
      <c r="AY99" s="178"/>
      <c r="AZ99" s="178"/>
      <c r="BA99" s="183"/>
      <c r="BB99" s="184"/>
    </row>
    <row r="100" spans="29:54" ht="25.5" customHeight="1"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72"/>
      <c r="AO100" s="172"/>
      <c r="AP100" s="165"/>
      <c r="AQ100" s="165"/>
      <c r="AR100" s="178"/>
      <c r="AS100" s="178"/>
      <c r="AT100" s="178"/>
      <c r="AU100" s="165"/>
      <c r="AV100" s="178"/>
      <c r="AW100" s="178"/>
      <c r="AX100" s="178"/>
      <c r="AY100" s="178"/>
      <c r="AZ100" s="178"/>
      <c r="BA100" s="183"/>
      <c r="BB100" s="184"/>
    </row>
    <row r="101" spans="29:54" ht="25.5" customHeight="1"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72"/>
      <c r="AO101" s="172"/>
      <c r="AP101" s="165"/>
      <c r="AQ101" s="165"/>
      <c r="AR101" s="178"/>
      <c r="AS101" s="178"/>
      <c r="AT101" s="178"/>
      <c r="AU101" s="165"/>
      <c r="AV101" s="178"/>
      <c r="AW101" s="178"/>
      <c r="AX101" s="178"/>
      <c r="AY101" s="178"/>
      <c r="AZ101" s="178"/>
      <c r="BA101" s="183"/>
      <c r="BB101" s="184"/>
    </row>
    <row r="102" spans="29:54" ht="25.5" customHeight="1"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72"/>
      <c r="AO102" s="172"/>
      <c r="AP102" s="165"/>
      <c r="AQ102" s="165"/>
      <c r="AR102" s="178"/>
      <c r="AS102" s="178"/>
      <c r="AT102" s="178"/>
      <c r="AU102" s="165"/>
      <c r="AV102" s="178"/>
      <c r="AW102" s="178"/>
      <c r="AX102" s="178"/>
      <c r="AY102" s="178"/>
      <c r="AZ102" s="178"/>
      <c r="BA102" s="183"/>
      <c r="BB102" s="184"/>
    </row>
    <row r="103" spans="29:54" ht="25.5" customHeight="1"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72"/>
      <c r="AO103" s="172"/>
      <c r="AP103" s="165"/>
      <c r="AQ103" s="165"/>
      <c r="AR103" s="178"/>
      <c r="AS103" s="178"/>
      <c r="AT103" s="178"/>
      <c r="AU103" s="165"/>
      <c r="AV103" s="178"/>
      <c r="AW103" s="178"/>
      <c r="AX103" s="178"/>
      <c r="AY103" s="178"/>
      <c r="AZ103" s="178"/>
      <c r="BA103" s="183"/>
      <c r="BB103" s="184"/>
    </row>
    <row r="104" spans="29:54" ht="25.5" customHeight="1"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72"/>
      <c r="AO104" s="172"/>
      <c r="AP104" s="165"/>
      <c r="AQ104" s="165"/>
      <c r="AR104" s="178"/>
      <c r="AS104" s="178"/>
      <c r="AT104" s="178"/>
      <c r="AU104" s="165"/>
      <c r="AV104" s="178"/>
      <c r="AW104" s="178"/>
      <c r="AX104" s="178"/>
      <c r="AY104" s="178"/>
      <c r="AZ104" s="178"/>
      <c r="BA104" s="183"/>
      <c r="BB104" s="184"/>
    </row>
    <row r="105" spans="29:54" ht="25.5" customHeight="1"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72"/>
      <c r="AO105" s="172"/>
      <c r="AP105" s="165"/>
      <c r="AQ105" s="165"/>
      <c r="AR105" s="178"/>
      <c r="AS105" s="178"/>
      <c r="AT105" s="178"/>
      <c r="AU105" s="165"/>
      <c r="AV105" s="178"/>
      <c r="AW105" s="178"/>
      <c r="AX105" s="178"/>
      <c r="AY105" s="178"/>
      <c r="AZ105" s="178"/>
      <c r="BA105" s="183"/>
      <c r="BB105" s="184"/>
    </row>
    <row r="106" spans="29:54" ht="25.5" customHeight="1"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72"/>
      <c r="AO106" s="172"/>
      <c r="AP106" s="165"/>
      <c r="AQ106" s="165"/>
      <c r="AR106" s="178"/>
      <c r="AS106" s="178"/>
      <c r="AT106" s="178"/>
      <c r="AU106" s="165"/>
      <c r="AV106" s="178"/>
      <c r="AW106" s="178"/>
      <c r="AX106" s="178"/>
      <c r="AY106" s="178"/>
      <c r="AZ106" s="178"/>
      <c r="BA106" s="183"/>
      <c r="BB106" s="184"/>
    </row>
    <row r="107" spans="29:54" ht="25.5" customHeight="1"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72"/>
      <c r="AO107" s="172"/>
      <c r="AP107" s="165"/>
      <c r="AQ107" s="165"/>
      <c r="AR107" s="178"/>
      <c r="AS107" s="178"/>
      <c r="AT107" s="178"/>
      <c r="AU107" s="165"/>
      <c r="AV107" s="178"/>
      <c r="AW107" s="178"/>
      <c r="AX107" s="178"/>
      <c r="AY107" s="178"/>
      <c r="AZ107" s="178"/>
      <c r="BA107" s="183"/>
      <c r="BB107" s="184"/>
    </row>
    <row r="108" spans="29:54" ht="25.5" customHeight="1"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72"/>
      <c r="AO108" s="172"/>
      <c r="AP108" s="165"/>
      <c r="AQ108" s="165"/>
      <c r="AR108" s="178"/>
      <c r="AS108" s="178"/>
      <c r="AT108" s="178"/>
      <c r="AU108" s="165"/>
      <c r="AV108" s="178"/>
      <c r="AW108" s="178"/>
      <c r="AX108" s="178"/>
      <c r="AY108" s="178"/>
      <c r="AZ108" s="178"/>
      <c r="BA108" s="183"/>
      <c r="BB108" s="184"/>
    </row>
    <row r="109" spans="29:54" ht="25.5" customHeight="1"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72"/>
      <c r="AO109" s="172"/>
      <c r="AP109" s="165"/>
      <c r="AQ109" s="165"/>
      <c r="AR109" s="178"/>
      <c r="AS109" s="178"/>
      <c r="AT109" s="178"/>
      <c r="AU109" s="165"/>
      <c r="AV109" s="178"/>
      <c r="AW109" s="178"/>
      <c r="AX109" s="178"/>
      <c r="AY109" s="178"/>
      <c r="AZ109" s="178"/>
      <c r="BA109" s="183"/>
      <c r="BB109" s="184"/>
    </row>
    <row r="110" spans="29:54" ht="25.5" customHeight="1"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72"/>
      <c r="AO110" s="172"/>
      <c r="AP110" s="165"/>
      <c r="AQ110" s="165"/>
      <c r="AR110" s="178"/>
      <c r="AS110" s="178"/>
      <c r="AT110" s="178"/>
      <c r="AU110" s="165"/>
      <c r="AV110" s="178"/>
      <c r="AW110" s="178"/>
      <c r="AX110" s="178"/>
      <c r="AY110" s="178"/>
      <c r="AZ110" s="178"/>
      <c r="BA110" s="183"/>
      <c r="BB110" s="184"/>
    </row>
    <row r="111" spans="29:54" ht="25.5" customHeight="1"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72"/>
      <c r="AO111" s="172"/>
      <c r="AP111" s="165"/>
      <c r="AQ111" s="165"/>
      <c r="AR111" s="178"/>
      <c r="AS111" s="178"/>
      <c r="AT111" s="178"/>
      <c r="AU111" s="165"/>
      <c r="AV111" s="178"/>
      <c r="AW111" s="178"/>
      <c r="AX111" s="178"/>
      <c r="AY111" s="178"/>
      <c r="AZ111" s="178"/>
      <c r="BA111" s="183"/>
      <c r="BB111" s="184"/>
    </row>
    <row r="112" spans="29:54" ht="25.5" customHeight="1"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72"/>
      <c r="AO112" s="172"/>
      <c r="AP112" s="165"/>
      <c r="AQ112" s="165"/>
      <c r="AR112" s="178"/>
      <c r="AS112" s="178"/>
      <c r="AT112" s="178"/>
      <c r="AU112" s="165"/>
      <c r="AV112" s="178"/>
      <c r="AW112" s="178"/>
      <c r="AX112" s="178"/>
      <c r="AY112" s="178"/>
      <c r="AZ112" s="178"/>
      <c r="BA112" s="183"/>
      <c r="BB112" s="184"/>
    </row>
    <row r="113" spans="29:54" ht="25.5" customHeight="1"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72"/>
      <c r="AO113" s="172"/>
      <c r="AP113" s="165"/>
      <c r="AQ113" s="165"/>
      <c r="AR113" s="178"/>
      <c r="AS113" s="178"/>
      <c r="AT113" s="178"/>
      <c r="AU113" s="165"/>
      <c r="AV113" s="178"/>
      <c r="AW113" s="178"/>
      <c r="AX113" s="178"/>
      <c r="AY113" s="178"/>
      <c r="AZ113" s="178"/>
      <c r="BA113" s="183"/>
      <c r="BB113" s="184"/>
    </row>
    <row r="114" spans="29:54" ht="25.5" customHeight="1"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72"/>
      <c r="AO114" s="172"/>
      <c r="AP114" s="165"/>
      <c r="AQ114" s="165"/>
      <c r="AR114" s="178"/>
      <c r="AS114" s="178"/>
      <c r="AT114" s="178"/>
      <c r="AU114" s="165"/>
      <c r="AV114" s="178"/>
      <c r="AW114" s="178"/>
      <c r="AX114" s="178"/>
      <c r="AY114" s="178"/>
      <c r="AZ114" s="178"/>
      <c r="BA114" s="183"/>
      <c r="BB114" s="184"/>
    </row>
    <row r="115" spans="29:54" ht="25.5" customHeight="1"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72"/>
      <c r="AO115" s="172"/>
      <c r="AP115" s="165"/>
      <c r="AQ115" s="165"/>
      <c r="AR115" s="178"/>
      <c r="AS115" s="178"/>
      <c r="AT115" s="178"/>
      <c r="AU115" s="165"/>
      <c r="AV115" s="178"/>
      <c r="AW115" s="178"/>
      <c r="AX115" s="178"/>
      <c r="AY115" s="178"/>
      <c r="AZ115" s="178"/>
      <c r="BA115" s="183"/>
      <c r="BB115" s="184"/>
    </row>
    <row r="116" spans="29:54" ht="15.75"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72"/>
      <c r="AO116" s="172"/>
      <c r="AP116" s="165"/>
      <c r="AQ116" s="165"/>
      <c r="AR116" s="178"/>
      <c r="AS116" s="178"/>
      <c r="AT116" s="178"/>
      <c r="AU116" s="165"/>
      <c r="AV116" s="178"/>
      <c r="AW116" s="178"/>
      <c r="AX116" s="178"/>
      <c r="AY116" s="178"/>
      <c r="AZ116" s="178"/>
      <c r="BA116" s="183"/>
      <c r="BB116" s="184"/>
    </row>
    <row r="117" spans="29:54" ht="15.75"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72"/>
      <c r="AO117" s="172"/>
      <c r="AP117" s="165"/>
      <c r="AQ117" s="165"/>
      <c r="AR117" s="178"/>
      <c r="AS117" s="178"/>
      <c r="AT117" s="178"/>
      <c r="AU117" s="165"/>
      <c r="AV117" s="178"/>
      <c r="AW117" s="178"/>
      <c r="AX117" s="178"/>
      <c r="AY117" s="178"/>
      <c r="AZ117" s="178"/>
      <c r="BA117" s="183"/>
      <c r="BB117" s="184"/>
    </row>
    <row r="118" spans="29:54" ht="15.75"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72"/>
      <c r="AO118" s="172"/>
      <c r="AP118" s="165"/>
      <c r="AQ118" s="165"/>
      <c r="AR118" s="178"/>
      <c r="AS118" s="178"/>
      <c r="AT118" s="178"/>
      <c r="AU118" s="165"/>
      <c r="AV118" s="178"/>
      <c r="AW118" s="178"/>
      <c r="AX118" s="178"/>
      <c r="AY118" s="178"/>
      <c r="AZ118" s="178"/>
      <c r="BA118" s="183"/>
      <c r="BB118" s="184"/>
    </row>
    <row r="119" spans="29:54" ht="15.75"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72"/>
      <c r="AO119" s="172"/>
      <c r="AP119" s="165"/>
      <c r="AQ119" s="165"/>
      <c r="AR119" s="178"/>
      <c r="AS119" s="178"/>
      <c r="AT119" s="178"/>
      <c r="AU119" s="165"/>
      <c r="AV119" s="178"/>
      <c r="AW119" s="178"/>
      <c r="AX119" s="178"/>
      <c r="AY119" s="178"/>
      <c r="AZ119" s="178"/>
      <c r="BA119" s="183"/>
      <c r="BB119" s="184"/>
    </row>
    <row r="120" spans="29:54" ht="15.75"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72"/>
      <c r="AO120" s="172"/>
      <c r="AP120" s="165"/>
      <c r="AQ120" s="165"/>
      <c r="AR120" s="178"/>
      <c r="AS120" s="178"/>
      <c r="AT120" s="178"/>
      <c r="AU120" s="165"/>
      <c r="AV120" s="178"/>
      <c r="AW120" s="178"/>
      <c r="AX120" s="178"/>
      <c r="AY120" s="178"/>
      <c r="AZ120" s="178"/>
      <c r="BA120" s="183"/>
      <c r="BB120" s="184"/>
    </row>
    <row r="121" spans="29:54" ht="15.75"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72"/>
      <c r="AO121" s="172"/>
      <c r="AP121" s="165"/>
      <c r="AQ121" s="165"/>
      <c r="AR121" s="178"/>
      <c r="AS121" s="178"/>
      <c r="AT121" s="178"/>
      <c r="AU121" s="165"/>
      <c r="AV121" s="178"/>
      <c r="AW121" s="178"/>
      <c r="AX121" s="178"/>
      <c r="AY121" s="178"/>
      <c r="AZ121" s="178"/>
      <c r="BA121" s="183"/>
      <c r="BB121" s="184"/>
    </row>
    <row r="122" spans="29:54" ht="15.75"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72"/>
      <c r="AO122" s="172"/>
      <c r="AP122" s="165"/>
      <c r="AQ122" s="165"/>
      <c r="AR122" s="178"/>
      <c r="AS122" s="178"/>
      <c r="AT122" s="178"/>
      <c r="AU122" s="165"/>
      <c r="AV122" s="178"/>
      <c r="AW122" s="178"/>
      <c r="AX122" s="178"/>
      <c r="AY122" s="178"/>
      <c r="AZ122" s="178"/>
      <c r="BA122" s="183"/>
      <c r="BB122" s="184"/>
    </row>
    <row r="123" spans="29:54" ht="15.75"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72"/>
      <c r="AO123" s="172"/>
      <c r="AP123" s="165"/>
      <c r="AQ123" s="165"/>
      <c r="AR123" s="178"/>
      <c r="AS123" s="178"/>
      <c r="AT123" s="178"/>
      <c r="AU123" s="165"/>
      <c r="AV123" s="178"/>
      <c r="AW123" s="178"/>
      <c r="AX123" s="178"/>
      <c r="AY123" s="178"/>
      <c r="AZ123" s="178"/>
      <c r="BA123" s="183"/>
      <c r="BB123" s="184"/>
    </row>
    <row r="124" spans="29:54" ht="15.75"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72"/>
      <c r="AO124" s="172"/>
      <c r="AP124" s="165"/>
      <c r="AQ124" s="165"/>
      <c r="AR124" s="178"/>
      <c r="AS124" s="178"/>
      <c r="AT124" s="178"/>
      <c r="AU124" s="165"/>
      <c r="AV124" s="178"/>
      <c r="AW124" s="178"/>
      <c r="AX124" s="178"/>
      <c r="AY124" s="178"/>
      <c r="AZ124" s="178"/>
      <c r="BA124" s="183"/>
      <c r="BB124" s="184"/>
    </row>
    <row r="125" spans="29:54" ht="15.75"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72"/>
      <c r="AO125" s="172"/>
      <c r="AP125" s="165"/>
      <c r="AQ125" s="165"/>
      <c r="AR125" s="178"/>
      <c r="AS125" s="178"/>
      <c r="AT125" s="178"/>
      <c r="AU125" s="165"/>
      <c r="AV125" s="178"/>
      <c r="AW125" s="178"/>
      <c r="AX125" s="178"/>
      <c r="AY125" s="178"/>
      <c r="AZ125" s="178"/>
      <c r="BA125" s="183"/>
      <c r="BB125" s="184"/>
    </row>
    <row r="126" spans="29:54" ht="15.75"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72"/>
      <c r="AO126" s="172"/>
      <c r="AP126" s="165"/>
      <c r="AQ126" s="165"/>
      <c r="AR126" s="178"/>
      <c r="AS126" s="178"/>
      <c r="AT126" s="178"/>
      <c r="AU126" s="165"/>
      <c r="AV126" s="178"/>
      <c r="AW126" s="178"/>
      <c r="AX126" s="178"/>
      <c r="AY126" s="178"/>
      <c r="AZ126" s="178"/>
      <c r="BA126" s="183"/>
      <c r="BB126" s="184"/>
    </row>
    <row r="127" spans="29:54" ht="15.75"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72"/>
      <c r="AO127" s="172"/>
      <c r="AP127" s="165"/>
      <c r="AQ127" s="165"/>
      <c r="AR127" s="178"/>
      <c r="AS127" s="178"/>
      <c r="AT127" s="178"/>
      <c r="AU127" s="165"/>
      <c r="AV127" s="178"/>
      <c r="AW127" s="178"/>
      <c r="AX127" s="178"/>
      <c r="AY127" s="178"/>
      <c r="AZ127" s="178"/>
      <c r="BA127" s="183"/>
      <c r="BB127" s="184"/>
    </row>
    <row r="128" spans="29:54" ht="15.75"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72"/>
      <c r="AO128" s="172"/>
      <c r="AP128" s="165"/>
      <c r="AQ128" s="165"/>
      <c r="AR128" s="178"/>
      <c r="AS128" s="178"/>
      <c r="AT128" s="178"/>
      <c r="AU128" s="165"/>
      <c r="AV128" s="178"/>
      <c r="AW128" s="178"/>
      <c r="AX128" s="178"/>
      <c r="AY128" s="178"/>
      <c r="AZ128" s="178"/>
      <c r="BA128" s="183"/>
      <c r="BB128" s="184"/>
    </row>
    <row r="129" spans="29:54" ht="15.75"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72"/>
      <c r="AO129" s="172"/>
      <c r="AP129" s="165"/>
      <c r="AQ129" s="165"/>
      <c r="AR129" s="178"/>
      <c r="AS129" s="178"/>
      <c r="AT129" s="178"/>
      <c r="AU129" s="165"/>
      <c r="AV129" s="178"/>
      <c r="AW129" s="178"/>
      <c r="AX129" s="178"/>
      <c r="AY129" s="178"/>
      <c r="AZ129" s="178"/>
      <c r="BA129" s="183"/>
      <c r="BB129" s="184"/>
    </row>
    <row r="130" spans="29:54" ht="15.75"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72"/>
      <c r="AO130" s="172"/>
      <c r="AP130" s="165"/>
      <c r="AQ130" s="165"/>
      <c r="AR130" s="178"/>
      <c r="AS130" s="178"/>
      <c r="AT130" s="178"/>
      <c r="AU130" s="165"/>
      <c r="AV130" s="178"/>
      <c r="AW130" s="178"/>
      <c r="AX130" s="178"/>
      <c r="AY130" s="178"/>
      <c r="AZ130" s="178"/>
      <c r="BA130" s="183"/>
      <c r="BB130" s="184"/>
    </row>
    <row r="131" spans="29:54" ht="15.75"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72"/>
      <c r="AO131" s="172"/>
      <c r="AP131" s="165"/>
      <c r="AQ131" s="165"/>
      <c r="AR131" s="178"/>
      <c r="AS131" s="178"/>
      <c r="AT131" s="178"/>
      <c r="AU131" s="165"/>
      <c r="AV131" s="178"/>
      <c r="AW131" s="178"/>
      <c r="AX131" s="178"/>
      <c r="AY131" s="178"/>
      <c r="AZ131" s="178"/>
      <c r="BA131" s="183"/>
      <c r="BB131" s="184"/>
    </row>
    <row r="132" spans="29:54" ht="15.75"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72"/>
      <c r="AO132" s="172"/>
      <c r="AP132" s="165"/>
      <c r="AQ132" s="165"/>
      <c r="AR132" s="178"/>
      <c r="AS132" s="178"/>
      <c r="AT132" s="178"/>
      <c r="AU132" s="165"/>
      <c r="AV132" s="178"/>
      <c r="AW132" s="178"/>
      <c r="AX132" s="178"/>
      <c r="AY132" s="178"/>
      <c r="AZ132" s="178"/>
      <c r="BA132" s="183"/>
      <c r="BB132" s="184"/>
    </row>
    <row r="133" spans="29:54" ht="15.75"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72"/>
      <c r="AO133" s="172"/>
      <c r="AP133" s="165"/>
      <c r="AQ133" s="165"/>
      <c r="AR133" s="178"/>
      <c r="AS133" s="178"/>
      <c r="AT133" s="178"/>
      <c r="AU133" s="165"/>
      <c r="AV133" s="178"/>
      <c r="AW133" s="178"/>
      <c r="AX133" s="178"/>
      <c r="AY133" s="178"/>
      <c r="AZ133" s="178"/>
      <c r="BA133" s="183"/>
      <c r="BB133" s="184"/>
    </row>
    <row r="134" spans="29:54" ht="15.75"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72"/>
      <c r="AO134" s="172"/>
      <c r="AP134" s="165"/>
      <c r="AQ134" s="165"/>
      <c r="AR134" s="178"/>
      <c r="AS134" s="178"/>
      <c r="AT134" s="178"/>
      <c r="AU134" s="165"/>
      <c r="AV134" s="178"/>
      <c r="AW134" s="178"/>
      <c r="AX134" s="178"/>
      <c r="AY134" s="178"/>
      <c r="AZ134" s="178"/>
      <c r="BA134" s="183"/>
      <c r="BB134" s="184"/>
    </row>
    <row r="135" spans="29:54" ht="15.75"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72"/>
      <c r="AO135" s="172"/>
      <c r="AP135" s="165"/>
      <c r="AQ135" s="165"/>
      <c r="AR135" s="178"/>
      <c r="AS135" s="178"/>
      <c r="AT135" s="178"/>
      <c r="AU135" s="165"/>
      <c r="AV135" s="178"/>
      <c r="AW135" s="178"/>
      <c r="AX135" s="178"/>
      <c r="AY135" s="178"/>
      <c r="AZ135" s="178"/>
      <c r="BA135" s="183"/>
      <c r="BB135" s="184"/>
    </row>
    <row r="136" spans="29:54" ht="15.75"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72"/>
      <c r="AO136" s="172"/>
      <c r="AP136" s="165"/>
      <c r="AQ136" s="165"/>
      <c r="AR136" s="178"/>
      <c r="AS136" s="178"/>
      <c r="AT136" s="178"/>
      <c r="AU136" s="165"/>
      <c r="AV136" s="178"/>
      <c r="AW136" s="178"/>
      <c r="AX136" s="178"/>
      <c r="AY136" s="178"/>
      <c r="AZ136" s="178"/>
      <c r="BA136" s="183"/>
      <c r="BB136" s="184"/>
    </row>
    <row r="137" spans="29:54" ht="15.75"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72"/>
      <c r="AO137" s="172"/>
      <c r="AP137" s="165"/>
      <c r="AQ137" s="165"/>
      <c r="AR137" s="178"/>
      <c r="AS137" s="178"/>
      <c r="AT137" s="178"/>
      <c r="AU137" s="165"/>
      <c r="AV137" s="178"/>
      <c r="AW137" s="178"/>
      <c r="AX137" s="178"/>
      <c r="AY137" s="178"/>
      <c r="AZ137" s="178"/>
      <c r="BA137" s="183"/>
      <c r="BB137" s="184"/>
    </row>
    <row r="138" spans="29:54" ht="15.75"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72"/>
      <c r="AO138" s="172"/>
      <c r="AP138" s="165"/>
      <c r="AQ138" s="165"/>
      <c r="AR138" s="178"/>
      <c r="AS138" s="178"/>
      <c r="AT138" s="178"/>
      <c r="AU138" s="165"/>
      <c r="AV138" s="178"/>
      <c r="AW138" s="178"/>
      <c r="AX138" s="178"/>
      <c r="AY138" s="178"/>
      <c r="AZ138" s="178"/>
      <c r="BA138" s="183"/>
      <c r="BB138" s="184"/>
    </row>
    <row r="139" spans="29:54" ht="15.75"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72"/>
      <c r="AO139" s="172"/>
      <c r="AP139" s="165"/>
      <c r="AQ139" s="165"/>
      <c r="AR139" s="178"/>
      <c r="AS139" s="178"/>
      <c r="AT139" s="178"/>
      <c r="AU139" s="165"/>
      <c r="AV139" s="178"/>
      <c r="AW139" s="178"/>
      <c r="AX139" s="178"/>
      <c r="AY139" s="178"/>
      <c r="AZ139" s="178"/>
      <c r="BA139" s="183"/>
      <c r="BB139" s="184"/>
    </row>
    <row r="140" spans="29:54" ht="15.75"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72"/>
      <c r="AO140" s="172"/>
      <c r="AP140" s="165"/>
      <c r="AQ140" s="165"/>
      <c r="AR140" s="178"/>
      <c r="AS140" s="178"/>
      <c r="AT140" s="178"/>
      <c r="AU140" s="165"/>
      <c r="AV140" s="178"/>
      <c r="AW140" s="178"/>
      <c r="AX140" s="178"/>
      <c r="AY140" s="178"/>
      <c r="AZ140" s="178"/>
      <c r="BA140" s="183"/>
      <c r="BB140" s="184"/>
    </row>
    <row r="141" spans="29:54" ht="15.75"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72"/>
      <c r="AO141" s="172"/>
      <c r="AP141" s="165"/>
      <c r="AQ141" s="165"/>
      <c r="AR141" s="178"/>
      <c r="AS141" s="178"/>
      <c r="AT141" s="178"/>
      <c r="AU141" s="165"/>
      <c r="AV141" s="178"/>
      <c r="AW141" s="178"/>
      <c r="AX141" s="178"/>
      <c r="AY141" s="178"/>
      <c r="AZ141" s="178"/>
      <c r="BA141" s="183"/>
      <c r="BB141" s="184"/>
    </row>
    <row r="142" spans="29:54" ht="15.75"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72"/>
      <c r="AO142" s="172"/>
      <c r="AP142" s="165"/>
      <c r="AQ142" s="165"/>
      <c r="AR142" s="178"/>
      <c r="AS142" s="178"/>
      <c r="AT142" s="178"/>
      <c r="AU142" s="165"/>
      <c r="AV142" s="178"/>
      <c r="AW142" s="178"/>
      <c r="AX142" s="178"/>
      <c r="AY142" s="178"/>
      <c r="AZ142" s="178"/>
      <c r="BA142" s="183"/>
      <c r="BB142" s="184"/>
    </row>
    <row r="143" spans="29:54" ht="15.75"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72"/>
      <c r="AO143" s="172"/>
      <c r="AP143" s="165"/>
      <c r="AQ143" s="165"/>
      <c r="AR143" s="178"/>
      <c r="AS143" s="178"/>
      <c r="AT143" s="178"/>
      <c r="AU143" s="165"/>
      <c r="AV143" s="178"/>
      <c r="AW143" s="178"/>
      <c r="AX143" s="178"/>
      <c r="AY143" s="178"/>
      <c r="AZ143" s="178"/>
      <c r="BA143" s="183"/>
      <c r="BB143" s="184"/>
    </row>
    <row r="144" spans="29:54" ht="15.75"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72"/>
      <c r="AO144" s="172"/>
      <c r="AP144" s="165"/>
      <c r="AQ144" s="165"/>
      <c r="AR144" s="178"/>
      <c r="AS144" s="178"/>
      <c r="AT144" s="178"/>
      <c r="AU144" s="165"/>
      <c r="AV144" s="178"/>
      <c r="AW144" s="178"/>
      <c r="AX144" s="178"/>
      <c r="AY144" s="178"/>
      <c r="AZ144" s="178"/>
      <c r="BA144" s="183"/>
      <c r="BB144" s="184"/>
    </row>
    <row r="145" spans="29:54" ht="15.75"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72"/>
      <c r="AO145" s="172"/>
      <c r="AP145" s="165"/>
      <c r="AQ145" s="165"/>
      <c r="AR145" s="178"/>
      <c r="AS145" s="178"/>
      <c r="AT145" s="178"/>
      <c r="AU145" s="165"/>
      <c r="AV145" s="178"/>
      <c r="AW145" s="178"/>
      <c r="AX145" s="178"/>
      <c r="AY145" s="178"/>
      <c r="AZ145" s="178"/>
      <c r="BA145" s="183"/>
      <c r="BB145" s="184"/>
    </row>
    <row r="146" spans="29:54" ht="15.75"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72"/>
      <c r="AO146" s="172"/>
      <c r="AP146" s="165"/>
      <c r="AQ146" s="165"/>
      <c r="AR146" s="178"/>
      <c r="AS146" s="178"/>
      <c r="AT146" s="178"/>
      <c r="AU146" s="165"/>
      <c r="AV146" s="178"/>
      <c r="AW146" s="178"/>
      <c r="AX146" s="178"/>
      <c r="AY146" s="178"/>
      <c r="AZ146" s="178"/>
      <c r="BA146" s="183"/>
      <c r="BB146" s="184"/>
    </row>
    <row r="147" spans="29:54" ht="15.75"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72"/>
      <c r="AO147" s="172"/>
      <c r="AP147" s="165"/>
      <c r="AQ147" s="165"/>
      <c r="AR147" s="178"/>
      <c r="AS147" s="178"/>
      <c r="AT147" s="178"/>
      <c r="AU147" s="165"/>
      <c r="AV147" s="178"/>
      <c r="AW147" s="178"/>
      <c r="AX147" s="178"/>
      <c r="AY147" s="178"/>
      <c r="AZ147" s="178"/>
      <c r="BA147" s="183"/>
      <c r="BB147" s="184"/>
    </row>
    <row r="148" spans="29:54" ht="15.75"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72"/>
      <c r="AO148" s="172"/>
      <c r="AP148" s="165"/>
      <c r="AQ148" s="165"/>
      <c r="AR148" s="178"/>
      <c r="AS148" s="178"/>
      <c r="AT148" s="178"/>
      <c r="AU148" s="165"/>
      <c r="AV148" s="178"/>
      <c r="AW148" s="178"/>
      <c r="AX148" s="178"/>
      <c r="AY148" s="178"/>
      <c r="AZ148" s="178"/>
      <c r="BA148" s="183"/>
      <c r="BB148" s="184"/>
    </row>
    <row r="149" spans="29:54" ht="15.75"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72"/>
      <c r="AO149" s="172"/>
      <c r="AP149" s="165"/>
      <c r="AQ149" s="165"/>
      <c r="AR149" s="178"/>
      <c r="AS149" s="178"/>
      <c r="AT149" s="178"/>
      <c r="AU149" s="165"/>
      <c r="AV149" s="178"/>
      <c r="AW149" s="178"/>
      <c r="AX149" s="178"/>
      <c r="AY149" s="178"/>
      <c r="AZ149" s="178"/>
      <c r="BA149" s="183"/>
      <c r="BB149" s="184"/>
    </row>
    <row r="150" spans="29:54" ht="15.75"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72"/>
      <c r="AO150" s="172"/>
      <c r="AP150" s="165"/>
      <c r="AQ150" s="165"/>
      <c r="AR150" s="178"/>
      <c r="AS150" s="178"/>
      <c r="AT150" s="178"/>
      <c r="AU150" s="165"/>
      <c r="AV150" s="178"/>
      <c r="AW150" s="178"/>
      <c r="AX150" s="178"/>
      <c r="AY150" s="178"/>
      <c r="AZ150" s="178"/>
      <c r="BA150" s="183"/>
      <c r="BB150" s="184"/>
    </row>
    <row r="151" spans="29:54" ht="15.75"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72"/>
      <c r="AO151" s="172"/>
      <c r="AP151" s="165"/>
      <c r="AQ151" s="165"/>
      <c r="AR151" s="178"/>
      <c r="AS151" s="178"/>
      <c r="AT151" s="178"/>
      <c r="AU151" s="165"/>
      <c r="AV151" s="178"/>
      <c r="AW151" s="178"/>
      <c r="AX151" s="178"/>
      <c r="AY151" s="178"/>
      <c r="AZ151" s="178"/>
      <c r="BA151" s="183"/>
      <c r="BB151" s="184"/>
    </row>
    <row r="152" spans="29:54" ht="15.75"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72"/>
      <c r="AO152" s="172"/>
      <c r="AP152" s="165"/>
      <c r="AQ152" s="165"/>
      <c r="AR152" s="178"/>
      <c r="AS152" s="178"/>
      <c r="AT152" s="178"/>
      <c r="AU152" s="165"/>
      <c r="AV152" s="178"/>
      <c r="AW152" s="178"/>
      <c r="AX152" s="178"/>
      <c r="AY152" s="178"/>
      <c r="AZ152" s="178"/>
      <c r="BA152" s="183"/>
      <c r="BB152" s="184"/>
    </row>
    <row r="153" spans="29:54" ht="15.75"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72"/>
      <c r="AO153" s="172"/>
      <c r="AP153" s="165"/>
      <c r="AQ153" s="165"/>
      <c r="AR153" s="178"/>
      <c r="AS153" s="178"/>
      <c r="AT153" s="178"/>
      <c r="AU153" s="165"/>
      <c r="AV153" s="178"/>
      <c r="AW153" s="178"/>
      <c r="AX153" s="178"/>
      <c r="AY153" s="178"/>
      <c r="AZ153" s="178"/>
      <c r="BA153" s="183"/>
      <c r="BB153" s="184"/>
    </row>
    <row r="154" spans="29:54" ht="15.75"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72"/>
      <c r="AO154" s="172"/>
      <c r="AP154" s="165"/>
      <c r="AQ154" s="165"/>
      <c r="AR154" s="178"/>
      <c r="AS154" s="178"/>
      <c r="AT154" s="178"/>
      <c r="AU154" s="165"/>
      <c r="AV154" s="178"/>
      <c r="AW154" s="178"/>
      <c r="AX154" s="178"/>
      <c r="AY154" s="178"/>
      <c r="AZ154" s="178"/>
      <c r="BA154" s="183"/>
      <c r="BB154" s="184"/>
    </row>
    <row r="155" spans="29:54" ht="15.75"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72"/>
      <c r="AO155" s="172"/>
      <c r="AP155" s="165"/>
      <c r="AQ155" s="165"/>
      <c r="AR155" s="178"/>
      <c r="AS155" s="178"/>
      <c r="AT155" s="178"/>
      <c r="AU155" s="165"/>
      <c r="AV155" s="178"/>
      <c r="AW155" s="178"/>
      <c r="AX155" s="178"/>
      <c r="AY155" s="178"/>
      <c r="AZ155" s="178"/>
      <c r="BA155" s="183"/>
      <c r="BB155" s="184"/>
    </row>
    <row r="156" spans="29:54" ht="15.75"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72"/>
      <c r="AO156" s="172"/>
      <c r="AP156" s="165"/>
      <c r="AQ156" s="165"/>
      <c r="AR156" s="178"/>
      <c r="AS156" s="178"/>
      <c r="AT156" s="178"/>
      <c r="AU156" s="165"/>
      <c r="AV156" s="178"/>
      <c r="AW156" s="178"/>
      <c r="AX156" s="178"/>
      <c r="AY156" s="178"/>
      <c r="AZ156" s="178"/>
      <c r="BA156" s="183"/>
      <c r="BB156" s="184"/>
    </row>
    <row r="157" spans="29:54" ht="15.75"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72"/>
      <c r="AO157" s="172"/>
      <c r="AP157" s="165"/>
      <c r="AQ157" s="165"/>
      <c r="AR157" s="178"/>
      <c r="AS157" s="178"/>
      <c r="AT157" s="178"/>
      <c r="AU157" s="165"/>
      <c r="AV157" s="178"/>
      <c r="AW157" s="178"/>
      <c r="AX157" s="178"/>
      <c r="AY157" s="178"/>
      <c r="AZ157" s="178"/>
      <c r="BA157" s="183"/>
      <c r="BB157" s="184"/>
    </row>
    <row r="158" spans="29:54" ht="15.75"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72"/>
      <c r="AO158" s="172"/>
      <c r="AP158" s="165"/>
      <c r="AQ158" s="165"/>
      <c r="AR158" s="178"/>
      <c r="AS158" s="178"/>
      <c r="AT158" s="178"/>
      <c r="AU158" s="165"/>
      <c r="AV158" s="178"/>
      <c r="AW158" s="178"/>
      <c r="AX158" s="178"/>
      <c r="AY158" s="178"/>
      <c r="AZ158" s="178"/>
      <c r="BA158" s="183"/>
      <c r="BB158" s="184"/>
    </row>
    <row r="159" spans="29:54" ht="15.75"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72"/>
      <c r="AO159" s="172"/>
      <c r="AP159" s="165"/>
      <c r="AQ159" s="165"/>
      <c r="AR159" s="178"/>
      <c r="AS159" s="178"/>
      <c r="AT159" s="178"/>
      <c r="AU159" s="165"/>
      <c r="AV159" s="178"/>
      <c r="AW159" s="178"/>
      <c r="AX159" s="178"/>
      <c r="AY159" s="178"/>
      <c r="AZ159" s="178"/>
      <c r="BA159" s="183"/>
      <c r="BB159" s="184"/>
    </row>
    <row r="160" spans="29:54" ht="15.75"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72"/>
      <c r="AO160" s="172"/>
      <c r="AP160" s="165"/>
      <c r="AQ160" s="165"/>
      <c r="AR160" s="178"/>
      <c r="AS160" s="178"/>
      <c r="AT160" s="178"/>
      <c r="AU160" s="165"/>
      <c r="AV160" s="178"/>
      <c r="AW160" s="178"/>
      <c r="AX160" s="178"/>
      <c r="AY160" s="178"/>
      <c r="AZ160" s="178"/>
      <c r="BA160" s="183"/>
      <c r="BB160" s="184"/>
    </row>
    <row r="161" spans="29:54" ht="15.75"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72"/>
      <c r="AO161" s="172"/>
      <c r="AP161" s="165"/>
      <c r="AQ161" s="165"/>
      <c r="AR161" s="178"/>
      <c r="AS161" s="178"/>
      <c r="AT161" s="178"/>
      <c r="AU161" s="165"/>
      <c r="AV161" s="178"/>
      <c r="AW161" s="178"/>
      <c r="AX161" s="178"/>
      <c r="AY161" s="178"/>
      <c r="AZ161" s="178"/>
      <c r="BA161" s="183"/>
      <c r="BB161" s="184"/>
    </row>
    <row r="162" spans="29:54" ht="15.75"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72"/>
      <c r="AO162" s="172"/>
      <c r="AP162" s="165"/>
      <c r="AQ162" s="165"/>
      <c r="AR162" s="178"/>
      <c r="AS162" s="178"/>
      <c r="AT162" s="178"/>
      <c r="AU162" s="165"/>
      <c r="AV162" s="178"/>
      <c r="AW162" s="178"/>
      <c r="AX162" s="178"/>
      <c r="AY162" s="178"/>
      <c r="AZ162" s="178"/>
      <c r="BA162" s="183"/>
      <c r="BB162" s="184"/>
    </row>
    <row r="163" spans="29:54" ht="15.75"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72"/>
      <c r="AO163" s="172"/>
      <c r="AP163" s="165"/>
      <c r="AQ163" s="165"/>
      <c r="AR163" s="178"/>
      <c r="AS163" s="178"/>
      <c r="AT163" s="178"/>
      <c r="AU163" s="165"/>
      <c r="AV163" s="178"/>
      <c r="AW163" s="178"/>
      <c r="AX163" s="178"/>
      <c r="AY163" s="178"/>
      <c r="AZ163" s="178"/>
      <c r="BA163" s="183"/>
      <c r="BB163" s="184"/>
    </row>
    <row r="164" spans="29:54" ht="15.75"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72"/>
      <c r="AO164" s="172"/>
      <c r="AP164" s="165"/>
      <c r="AQ164" s="165"/>
      <c r="AR164" s="178"/>
      <c r="AS164" s="178"/>
      <c r="AT164" s="178"/>
      <c r="AU164" s="165"/>
      <c r="AV164" s="178"/>
      <c r="AW164" s="178"/>
      <c r="AX164" s="178"/>
      <c r="AY164" s="178"/>
      <c r="AZ164" s="178"/>
      <c r="BA164" s="183"/>
      <c r="BB164" s="184"/>
    </row>
    <row r="165" spans="29:54" ht="15.75"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72"/>
      <c r="AO165" s="172"/>
      <c r="AP165" s="165"/>
      <c r="AQ165" s="165"/>
      <c r="AR165" s="178"/>
      <c r="AS165" s="178"/>
      <c r="AT165" s="178"/>
      <c r="AU165" s="165"/>
      <c r="AV165" s="178"/>
      <c r="AW165" s="178"/>
      <c r="AX165" s="178"/>
      <c r="AY165" s="178"/>
      <c r="AZ165" s="178"/>
      <c r="BA165" s="183"/>
      <c r="BB165" s="184"/>
    </row>
    <row r="166" spans="29:54" ht="15.75"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72"/>
      <c r="AO166" s="172"/>
      <c r="AP166" s="165"/>
      <c r="AQ166" s="165"/>
      <c r="AR166" s="178"/>
      <c r="AS166" s="178"/>
      <c r="AT166" s="178"/>
      <c r="AU166" s="165"/>
      <c r="AV166" s="178"/>
      <c r="AW166" s="178"/>
      <c r="AX166" s="178"/>
      <c r="AY166" s="178"/>
      <c r="AZ166" s="178"/>
      <c r="BA166" s="183"/>
      <c r="BB166" s="184"/>
    </row>
    <row r="167" spans="29:54" ht="15.75"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72"/>
      <c r="AO167" s="172"/>
      <c r="AP167" s="165"/>
      <c r="AQ167" s="165"/>
      <c r="AR167" s="178"/>
      <c r="AS167" s="178"/>
      <c r="AT167" s="178"/>
      <c r="AU167" s="165"/>
      <c r="AV167" s="178"/>
      <c r="AW167" s="178"/>
      <c r="AX167" s="178"/>
      <c r="AY167" s="178"/>
      <c r="AZ167" s="178"/>
      <c r="BA167" s="183"/>
      <c r="BB167" s="184"/>
    </row>
    <row r="168" spans="29:54" ht="15.75"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72"/>
      <c r="AO168" s="172"/>
      <c r="AP168" s="165"/>
      <c r="AQ168" s="165"/>
      <c r="AR168" s="178"/>
      <c r="AS168" s="178"/>
      <c r="AT168" s="178"/>
      <c r="AU168" s="165"/>
      <c r="AV168" s="178"/>
      <c r="AW168" s="178"/>
      <c r="AX168" s="178"/>
      <c r="AY168" s="178"/>
      <c r="AZ168" s="178"/>
      <c r="BA168" s="183"/>
      <c r="BB168" s="184"/>
    </row>
    <row r="169" spans="29:54" ht="15.75"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72"/>
      <c r="AO169" s="172"/>
      <c r="AP169" s="165"/>
      <c r="AQ169" s="165"/>
      <c r="AR169" s="178"/>
      <c r="AS169" s="178"/>
      <c r="AT169" s="178"/>
      <c r="AU169" s="165"/>
      <c r="AV169" s="178"/>
      <c r="AW169" s="178"/>
      <c r="AX169" s="178"/>
      <c r="AY169" s="178"/>
      <c r="AZ169" s="178"/>
      <c r="BA169" s="183"/>
      <c r="BB169" s="184"/>
    </row>
    <row r="170" spans="29:54" ht="15.75"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72"/>
      <c r="AO170" s="172"/>
      <c r="AP170" s="165"/>
      <c r="AQ170" s="165"/>
      <c r="AR170" s="178"/>
      <c r="AS170" s="178"/>
      <c r="AT170" s="178"/>
      <c r="AU170" s="165"/>
      <c r="AV170" s="178"/>
      <c r="AW170" s="178"/>
      <c r="AX170" s="178"/>
      <c r="AY170" s="178"/>
      <c r="AZ170" s="178"/>
      <c r="BA170" s="183"/>
      <c r="BB170" s="184"/>
    </row>
    <row r="171" spans="29:54" ht="15.75"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72"/>
      <c r="AO171" s="172"/>
      <c r="AP171" s="165"/>
      <c r="AQ171" s="165"/>
      <c r="AR171" s="178"/>
      <c r="AS171" s="178"/>
      <c r="AT171" s="178"/>
      <c r="AU171" s="165"/>
      <c r="AV171" s="178"/>
      <c r="AW171" s="178"/>
      <c r="AX171" s="178"/>
      <c r="AY171" s="178"/>
      <c r="AZ171" s="178"/>
      <c r="BA171" s="183"/>
      <c r="BB171" s="184"/>
    </row>
    <row r="172" spans="29:54" ht="15.75"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72"/>
      <c r="AO172" s="172"/>
      <c r="AP172" s="165"/>
      <c r="AQ172" s="165"/>
      <c r="AR172" s="178"/>
      <c r="AS172" s="178"/>
      <c r="AT172" s="178"/>
      <c r="AU172" s="165"/>
      <c r="AV172" s="178"/>
      <c r="AW172" s="178"/>
      <c r="AX172" s="178"/>
      <c r="AY172" s="178"/>
      <c r="AZ172" s="178"/>
      <c r="BA172" s="183"/>
      <c r="BB172" s="184"/>
    </row>
    <row r="173" spans="29:54" ht="15.75"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72"/>
      <c r="AO173" s="172"/>
      <c r="AP173" s="165"/>
      <c r="AQ173" s="165"/>
      <c r="AR173" s="178"/>
      <c r="AS173" s="178"/>
      <c r="AT173" s="178"/>
      <c r="AU173" s="165"/>
      <c r="AV173" s="178"/>
      <c r="AW173" s="178"/>
      <c r="AX173" s="178"/>
      <c r="AY173" s="178"/>
      <c r="AZ173" s="178"/>
      <c r="BA173" s="183"/>
      <c r="BB173" s="184"/>
    </row>
    <row r="174" spans="29:54" ht="15.75"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72"/>
      <c r="AO174" s="172"/>
      <c r="AP174" s="165"/>
      <c r="AQ174" s="165"/>
      <c r="AR174" s="178"/>
      <c r="AS174" s="178"/>
      <c r="AT174" s="178"/>
      <c r="AU174" s="165"/>
      <c r="AV174" s="178"/>
      <c r="AW174" s="178"/>
      <c r="AX174" s="178"/>
      <c r="AY174" s="178"/>
      <c r="AZ174" s="178"/>
      <c r="BA174" s="183"/>
      <c r="BB174" s="184"/>
    </row>
    <row r="175" spans="29:54" ht="15.75"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72"/>
      <c r="AO175" s="172"/>
      <c r="AP175" s="165"/>
      <c r="AQ175" s="165"/>
      <c r="AR175" s="178"/>
      <c r="AS175" s="178"/>
      <c r="AT175" s="178"/>
      <c r="AU175" s="165"/>
      <c r="AV175" s="178"/>
      <c r="AW175" s="178"/>
      <c r="AX175" s="178"/>
      <c r="AY175" s="178"/>
      <c r="AZ175" s="178"/>
      <c r="BA175" s="183"/>
      <c r="BB175" s="184"/>
    </row>
    <row r="176" spans="29:54" ht="15.75"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72"/>
      <c r="AO176" s="172"/>
      <c r="AP176" s="165"/>
      <c r="AQ176" s="165"/>
      <c r="AR176" s="178"/>
      <c r="AS176" s="178"/>
      <c r="AT176" s="178"/>
      <c r="AU176" s="165"/>
      <c r="AV176" s="178"/>
      <c r="AW176" s="178"/>
      <c r="AX176" s="178"/>
      <c r="AY176" s="178"/>
      <c r="AZ176" s="178"/>
      <c r="BA176" s="183"/>
      <c r="BB176" s="184"/>
    </row>
    <row r="177" spans="29:54" ht="15.75"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72"/>
      <c r="AO177" s="172"/>
      <c r="AP177" s="165"/>
      <c r="AQ177" s="165"/>
      <c r="AR177" s="178"/>
      <c r="AS177" s="178"/>
      <c r="AT177" s="178"/>
      <c r="AU177" s="165"/>
      <c r="AV177" s="178"/>
      <c r="AW177" s="178"/>
      <c r="AX177" s="178"/>
      <c r="AY177" s="178"/>
      <c r="AZ177" s="178"/>
      <c r="BA177" s="183"/>
      <c r="BB177" s="184"/>
    </row>
    <row r="178" spans="29:54" ht="15.75"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72"/>
      <c r="AO178" s="172"/>
      <c r="AP178" s="165"/>
      <c r="AQ178" s="165"/>
      <c r="AR178" s="178"/>
      <c r="AS178" s="178"/>
      <c r="AT178" s="178"/>
      <c r="AU178" s="165"/>
      <c r="AV178" s="178"/>
      <c r="AW178" s="178"/>
      <c r="AX178" s="178"/>
      <c r="AY178" s="178"/>
      <c r="AZ178" s="178"/>
      <c r="BA178" s="183"/>
      <c r="BB178" s="184"/>
    </row>
    <row r="179" spans="29:54" ht="15.75"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72"/>
      <c r="AO179" s="172"/>
      <c r="AP179" s="165"/>
      <c r="AQ179" s="165"/>
      <c r="AR179" s="178"/>
      <c r="AS179" s="178"/>
      <c r="AT179" s="178"/>
      <c r="AU179" s="165"/>
      <c r="AV179" s="178"/>
      <c r="AW179" s="178"/>
      <c r="AX179" s="178"/>
      <c r="AY179" s="178"/>
      <c r="AZ179" s="178"/>
      <c r="BA179" s="183"/>
      <c r="BB179" s="184"/>
    </row>
    <row r="180" spans="29:54" ht="15.75"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72"/>
      <c r="AO180" s="172"/>
      <c r="AP180" s="165"/>
      <c r="AQ180" s="165"/>
      <c r="AR180" s="178"/>
      <c r="AS180" s="178"/>
      <c r="AT180" s="178"/>
      <c r="AU180" s="165"/>
      <c r="AV180" s="178"/>
      <c r="AW180" s="178"/>
      <c r="AX180" s="178"/>
      <c r="AY180" s="178"/>
      <c r="AZ180" s="178"/>
      <c r="BA180" s="183"/>
      <c r="BB180" s="184"/>
    </row>
    <row r="181" spans="29:54" ht="15.75"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72"/>
      <c r="AO181" s="172"/>
      <c r="AP181" s="165"/>
      <c r="AQ181" s="165"/>
      <c r="AR181" s="178"/>
      <c r="AS181" s="178"/>
      <c r="AT181" s="178"/>
      <c r="AU181" s="165"/>
      <c r="AV181" s="178"/>
      <c r="AW181" s="178"/>
      <c r="AX181" s="178"/>
      <c r="AY181" s="178"/>
      <c r="AZ181" s="178"/>
      <c r="BA181" s="183"/>
      <c r="BB181" s="184"/>
    </row>
    <row r="182" spans="29:54" ht="15.75"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72"/>
      <c r="AO182" s="172"/>
      <c r="AP182" s="165"/>
      <c r="AQ182" s="165"/>
      <c r="AR182" s="178"/>
      <c r="AS182" s="178"/>
      <c r="AT182" s="178"/>
      <c r="AU182" s="165"/>
      <c r="AV182" s="178"/>
      <c r="AW182" s="178"/>
      <c r="AX182" s="178"/>
      <c r="AY182" s="178"/>
      <c r="AZ182" s="178"/>
      <c r="BA182" s="183"/>
      <c r="BB182" s="184"/>
    </row>
    <row r="183" spans="29:54" ht="15.75"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72"/>
      <c r="AO183" s="172"/>
      <c r="AP183" s="165"/>
      <c r="AQ183" s="165"/>
      <c r="AR183" s="178"/>
      <c r="AS183" s="178"/>
      <c r="AT183" s="178"/>
      <c r="AU183" s="165"/>
      <c r="AV183" s="178"/>
      <c r="AW183" s="178"/>
      <c r="AX183" s="178"/>
      <c r="AY183" s="178"/>
      <c r="AZ183" s="178"/>
      <c r="BA183" s="183"/>
      <c r="BB183" s="184"/>
    </row>
    <row r="184" spans="29:54" ht="15.75"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72"/>
      <c r="AO184" s="172"/>
      <c r="AP184" s="165"/>
      <c r="AQ184" s="165"/>
      <c r="AR184" s="178"/>
      <c r="AS184" s="178"/>
      <c r="AT184" s="178"/>
      <c r="AU184" s="165"/>
      <c r="AV184" s="178"/>
      <c r="AW184" s="178"/>
      <c r="AX184" s="178"/>
      <c r="AY184" s="178"/>
      <c r="AZ184" s="178"/>
      <c r="BA184" s="183"/>
      <c r="BB184" s="184"/>
    </row>
    <row r="185" spans="29:54" ht="15.75"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72"/>
      <c r="AO185" s="172"/>
      <c r="AP185" s="165"/>
      <c r="AQ185" s="165"/>
      <c r="AR185" s="178"/>
      <c r="AS185" s="178"/>
      <c r="AT185" s="178"/>
      <c r="AU185" s="165"/>
      <c r="AV185" s="178"/>
      <c r="AW185" s="178"/>
      <c r="AX185" s="178"/>
      <c r="AY185" s="178"/>
      <c r="AZ185" s="178"/>
      <c r="BA185" s="183"/>
      <c r="BB185" s="184"/>
    </row>
    <row r="186" spans="29:54" ht="15.75"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72"/>
      <c r="AO186" s="172"/>
      <c r="AP186" s="165"/>
      <c r="AQ186" s="165"/>
      <c r="AR186" s="178"/>
      <c r="AS186" s="178"/>
      <c r="AT186" s="178"/>
      <c r="AU186" s="165"/>
      <c r="AV186" s="178"/>
      <c r="AW186" s="178"/>
      <c r="AX186" s="178"/>
      <c r="AY186" s="178"/>
      <c r="AZ186" s="178"/>
      <c r="BA186" s="183"/>
      <c r="BB186" s="184"/>
    </row>
    <row r="187" spans="29:54" ht="15.75"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72"/>
      <c r="AO187" s="172"/>
      <c r="AP187" s="165"/>
      <c r="AQ187" s="165"/>
      <c r="AR187" s="178"/>
      <c r="AS187" s="178"/>
      <c r="AT187" s="178"/>
      <c r="AU187" s="165"/>
      <c r="AV187" s="178"/>
      <c r="AW187" s="178"/>
      <c r="AX187" s="178"/>
      <c r="AY187" s="178"/>
      <c r="AZ187" s="178"/>
      <c r="BA187" s="183"/>
      <c r="BB187" s="184"/>
    </row>
    <row r="188" spans="29:54" ht="15.75"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72"/>
      <c r="AO188" s="172"/>
      <c r="AP188" s="165"/>
      <c r="AQ188" s="165"/>
      <c r="AR188" s="178"/>
      <c r="AS188" s="178"/>
      <c r="AT188" s="178"/>
      <c r="AU188" s="165"/>
      <c r="AV188" s="178"/>
      <c r="AW188" s="178"/>
      <c r="AX188" s="178"/>
      <c r="AY188" s="178"/>
      <c r="AZ188" s="178"/>
      <c r="BA188" s="183"/>
      <c r="BB188" s="184"/>
    </row>
    <row r="189" spans="29:54" ht="15.75"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72"/>
      <c r="AO189" s="172"/>
      <c r="AP189" s="165"/>
      <c r="AQ189" s="165"/>
      <c r="AR189" s="178"/>
      <c r="AS189" s="178"/>
      <c r="AT189" s="178"/>
      <c r="AU189" s="165"/>
      <c r="AV189" s="178"/>
      <c r="AW189" s="178"/>
      <c r="AX189" s="178"/>
      <c r="AY189" s="178"/>
      <c r="AZ189" s="178"/>
      <c r="BA189" s="183"/>
      <c r="BB189" s="184"/>
    </row>
    <row r="190" spans="29:54" ht="15.75"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72"/>
      <c r="AO190" s="172"/>
      <c r="AP190" s="165"/>
      <c r="AQ190" s="165"/>
      <c r="AR190" s="178"/>
      <c r="AS190" s="178"/>
      <c r="AT190" s="178"/>
      <c r="AU190" s="165"/>
      <c r="AV190" s="178"/>
      <c r="AW190" s="178"/>
      <c r="AX190" s="178"/>
      <c r="AY190" s="178"/>
      <c r="AZ190" s="178"/>
      <c r="BA190" s="183"/>
      <c r="BB190" s="184"/>
    </row>
    <row r="191" spans="29:54" ht="15.75"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72"/>
      <c r="AO191" s="172"/>
      <c r="AP191" s="165"/>
      <c r="AQ191" s="165"/>
      <c r="AR191" s="178"/>
      <c r="AS191" s="178"/>
      <c r="AT191" s="178"/>
      <c r="AU191" s="165"/>
      <c r="AV191" s="178"/>
      <c r="AW191" s="178"/>
      <c r="AX191" s="178"/>
      <c r="AY191" s="178"/>
      <c r="AZ191" s="178"/>
      <c r="BA191" s="183"/>
      <c r="BB191" s="184"/>
    </row>
    <row r="192" spans="29:54" ht="15.75"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72"/>
      <c r="AO192" s="172"/>
      <c r="AP192" s="165"/>
      <c r="AQ192" s="165"/>
      <c r="AR192" s="178"/>
      <c r="AS192" s="178"/>
      <c r="AT192" s="178"/>
      <c r="AU192" s="165"/>
      <c r="AV192" s="178"/>
      <c r="AW192" s="178"/>
      <c r="AX192" s="178"/>
      <c r="AY192" s="178"/>
      <c r="AZ192" s="178"/>
      <c r="BA192" s="183"/>
      <c r="BB192" s="184"/>
    </row>
    <row r="193" spans="29:54" ht="15.75"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72"/>
      <c r="AO193" s="172"/>
      <c r="AP193" s="165"/>
      <c r="AQ193" s="165"/>
      <c r="AR193" s="178"/>
      <c r="AS193" s="178"/>
      <c r="AT193" s="178"/>
      <c r="AU193" s="165"/>
      <c r="AV193" s="178"/>
      <c r="AW193" s="178"/>
      <c r="AX193" s="178"/>
      <c r="AY193" s="178"/>
      <c r="AZ193" s="178"/>
      <c r="BA193" s="183"/>
      <c r="BB193" s="184"/>
    </row>
    <row r="194" spans="29:54" ht="15.75"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72"/>
      <c r="AO194" s="172"/>
      <c r="AP194" s="165"/>
      <c r="AQ194" s="165"/>
      <c r="AR194" s="178"/>
      <c r="AS194" s="178"/>
      <c r="AT194" s="178"/>
      <c r="AU194" s="165"/>
      <c r="AV194" s="178"/>
      <c r="AW194" s="178"/>
      <c r="AX194" s="178"/>
      <c r="AY194" s="178"/>
      <c r="AZ194" s="178"/>
      <c r="BA194" s="183"/>
      <c r="BB194" s="184"/>
    </row>
    <row r="195" spans="29:54" ht="15.75"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72"/>
      <c r="AO195" s="172"/>
      <c r="AP195" s="165"/>
      <c r="AQ195" s="165"/>
      <c r="AR195" s="178"/>
      <c r="AS195" s="178"/>
      <c r="AT195" s="178"/>
      <c r="AU195" s="165"/>
      <c r="AV195" s="178"/>
      <c r="AW195" s="178"/>
      <c r="AX195" s="178"/>
      <c r="AY195" s="178"/>
      <c r="AZ195" s="178"/>
      <c r="BA195" s="183"/>
      <c r="BB195" s="184"/>
    </row>
    <row r="196" spans="29:54" ht="15.75"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72"/>
      <c r="AO196" s="172"/>
      <c r="AP196" s="165"/>
      <c r="AQ196" s="165"/>
      <c r="AR196" s="178"/>
      <c r="AS196" s="178"/>
      <c r="AT196" s="178"/>
      <c r="AU196" s="165"/>
      <c r="AV196" s="178"/>
      <c r="AW196" s="178"/>
      <c r="AX196" s="178"/>
      <c r="AY196" s="178"/>
      <c r="AZ196" s="178"/>
      <c r="BA196" s="183"/>
      <c r="BB196" s="184"/>
    </row>
    <row r="197" spans="29:54" ht="15.75"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72"/>
      <c r="AO197" s="172"/>
      <c r="AP197" s="165"/>
      <c r="AQ197" s="165"/>
      <c r="AR197" s="178"/>
      <c r="AS197" s="178"/>
      <c r="AT197" s="178"/>
      <c r="AU197" s="165"/>
      <c r="AV197" s="178"/>
      <c r="AW197" s="178"/>
      <c r="AX197" s="178"/>
      <c r="AY197" s="178"/>
      <c r="AZ197" s="178"/>
      <c r="BA197" s="183"/>
      <c r="BB197" s="184"/>
    </row>
    <row r="198" spans="29:54" ht="15.75"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72"/>
      <c r="AO198" s="172"/>
      <c r="AP198" s="165"/>
      <c r="AQ198" s="165"/>
      <c r="AR198" s="178"/>
      <c r="AS198" s="178"/>
      <c r="AT198" s="178"/>
      <c r="AU198" s="165"/>
      <c r="AV198" s="178"/>
      <c r="AW198" s="178"/>
      <c r="AX198" s="178"/>
      <c r="AY198" s="178"/>
      <c r="AZ198" s="178"/>
      <c r="BA198" s="183"/>
      <c r="BB198" s="184"/>
    </row>
    <row r="199" spans="29:54" ht="15.75"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72"/>
      <c r="AO199" s="172"/>
      <c r="AP199" s="165"/>
      <c r="AQ199" s="165"/>
      <c r="AR199" s="178"/>
      <c r="AS199" s="178"/>
      <c r="AT199" s="178"/>
      <c r="AU199" s="165"/>
      <c r="AV199" s="178"/>
      <c r="AW199" s="178"/>
      <c r="AX199" s="178"/>
      <c r="AY199" s="178"/>
      <c r="AZ199" s="178"/>
      <c r="BA199" s="183"/>
      <c r="BB199" s="184"/>
    </row>
    <row r="200" spans="29:54" ht="15.75"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72"/>
      <c r="AO200" s="172"/>
      <c r="AP200" s="165"/>
      <c r="AQ200" s="165"/>
      <c r="AR200" s="178"/>
      <c r="AS200" s="178"/>
      <c r="AT200" s="178"/>
      <c r="AU200" s="165"/>
      <c r="AV200" s="178"/>
      <c r="AW200" s="178"/>
      <c r="AX200" s="178"/>
      <c r="AY200" s="178"/>
      <c r="AZ200" s="178"/>
      <c r="BA200" s="183"/>
      <c r="BB200" s="184"/>
    </row>
    <row r="201" spans="29:54" ht="15.75"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72"/>
      <c r="AO201" s="172"/>
      <c r="AP201" s="165"/>
      <c r="AQ201" s="165"/>
      <c r="AR201" s="178"/>
      <c r="AS201" s="178"/>
      <c r="AT201" s="178"/>
      <c r="AU201" s="165"/>
      <c r="AV201" s="178"/>
      <c r="AW201" s="178"/>
      <c r="AX201" s="178"/>
      <c r="AY201" s="178"/>
      <c r="AZ201" s="178"/>
      <c r="BA201" s="183"/>
      <c r="BB201" s="184"/>
    </row>
    <row r="202" spans="29:54" ht="15.75"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72"/>
      <c r="AO202" s="172"/>
      <c r="AP202" s="165"/>
      <c r="AQ202" s="165"/>
      <c r="AR202" s="178"/>
      <c r="AS202" s="178"/>
      <c r="AT202" s="178"/>
      <c r="AU202" s="165"/>
      <c r="AV202" s="178"/>
      <c r="AW202" s="178"/>
      <c r="AX202" s="178"/>
      <c r="AY202" s="178"/>
      <c r="AZ202" s="178"/>
      <c r="BA202" s="183"/>
      <c r="BB202" s="184"/>
    </row>
    <row r="203" spans="29:54" ht="15.75"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72"/>
      <c r="AO203" s="172"/>
      <c r="AP203" s="165"/>
      <c r="AQ203" s="165"/>
      <c r="AR203" s="178"/>
      <c r="AS203" s="178"/>
      <c r="AT203" s="178"/>
      <c r="AU203" s="165"/>
      <c r="AV203" s="178"/>
      <c r="AW203" s="178"/>
      <c r="AX203" s="178"/>
      <c r="AY203" s="178"/>
      <c r="AZ203" s="178"/>
      <c r="BA203" s="183"/>
      <c r="BB203" s="184"/>
    </row>
    <row r="204" spans="29:54" ht="15.75"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72"/>
      <c r="AO204" s="172"/>
      <c r="AP204" s="165"/>
      <c r="AQ204" s="165"/>
      <c r="AR204" s="178"/>
      <c r="AS204" s="178"/>
      <c r="AT204" s="178"/>
      <c r="AU204" s="165"/>
      <c r="AV204" s="178"/>
      <c r="AW204" s="178"/>
      <c r="AX204" s="178"/>
      <c r="AY204" s="178"/>
      <c r="AZ204" s="178"/>
      <c r="BA204" s="183"/>
      <c r="BB204" s="184"/>
    </row>
    <row r="205" spans="29:54" ht="15.75"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72"/>
      <c r="AO205" s="172"/>
      <c r="AP205" s="165"/>
      <c r="AQ205" s="165"/>
      <c r="AR205" s="178"/>
      <c r="AS205" s="178"/>
      <c r="AT205" s="178"/>
      <c r="AU205" s="165"/>
      <c r="AV205" s="178"/>
      <c r="AW205" s="178"/>
      <c r="AX205" s="178"/>
      <c r="AY205" s="178"/>
      <c r="AZ205" s="178"/>
      <c r="BA205" s="183"/>
      <c r="BB205" s="184"/>
    </row>
    <row r="206" spans="29:54" ht="15.75"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72"/>
      <c r="AO206" s="172"/>
      <c r="AP206" s="165"/>
      <c r="AQ206" s="165"/>
      <c r="AR206" s="178"/>
      <c r="AS206" s="178"/>
      <c r="AT206" s="178"/>
      <c r="AU206" s="165"/>
      <c r="AV206" s="178"/>
      <c r="AW206" s="178"/>
      <c r="AX206" s="178"/>
      <c r="AY206" s="178"/>
      <c r="AZ206" s="178"/>
      <c r="BA206" s="183"/>
      <c r="BB206" s="184"/>
    </row>
    <row r="207" spans="29:54" ht="15.75"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72"/>
      <c r="AO207" s="172"/>
      <c r="AP207" s="165"/>
      <c r="AQ207" s="165"/>
      <c r="AR207" s="178"/>
      <c r="AS207" s="178"/>
      <c r="AT207" s="178"/>
      <c r="AU207" s="165"/>
      <c r="AV207" s="178"/>
      <c r="AW207" s="178"/>
      <c r="AX207" s="178"/>
      <c r="AY207" s="178"/>
      <c r="AZ207" s="178"/>
      <c r="BA207" s="183"/>
      <c r="BB207" s="184"/>
    </row>
    <row r="208" spans="29:54" ht="15.75"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72"/>
      <c r="AO208" s="172"/>
      <c r="AP208" s="165"/>
      <c r="AQ208" s="165"/>
      <c r="AR208" s="178"/>
      <c r="AS208" s="178"/>
      <c r="AT208" s="178"/>
      <c r="AU208" s="165"/>
      <c r="AV208" s="178"/>
      <c r="AW208" s="178"/>
      <c r="AX208" s="178"/>
      <c r="AY208" s="178"/>
      <c r="AZ208" s="178"/>
      <c r="BA208" s="183"/>
      <c r="BB208" s="184"/>
    </row>
    <row r="209" spans="29:54" ht="15.75"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72"/>
      <c r="AO209" s="172"/>
      <c r="AP209" s="165"/>
      <c r="AQ209" s="165"/>
      <c r="AR209" s="178"/>
      <c r="AS209" s="178"/>
      <c r="AT209" s="178"/>
      <c r="AU209" s="165"/>
      <c r="AV209" s="178"/>
      <c r="AW209" s="178"/>
      <c r="AX209" s="178"/>
      <c r="AY209" s="178"/>
      <c r="AZ209" s="178"/>
      <c r="BA209" s="183"/>
      <c r="BB209" s="184"/>
    </row>
    <row r="210" spans="29:54" ht="15.75"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72"/>
      <c r="AO210" s="172"/>
      <c r="AP210" s="165"/>
      <c r="AQ210" s="165"/>
      <c r="AR210" s="178"/>
      <c r="AS210" s="178"/>
      <c r="AT210" s="178"/>
      <c r="AU210" s="165"/>
      <c r="AV210" s="178"/>
      <c r="AW210" s="178"/>
      <c r="AX210" s="178"/>
      <c r="AY210" s="178"/>
      <c r="AZ210" s="178"/>
      <c r="BA210" s="183"/>
      <c r="BB210" s="184"/>
    </row>
    <row r="211" spans="29:54" ht="15.75"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72"/>
      <c r="AO211" s="172"/>
      <c r="AP211" s="165"/>
      <c r="AQ211" s="165"/>
      <c r="AR211" s="178"/>
      <c r="AS211" s="178"/>
      <c r="AT211" s="178"/>
      <c r="AU211" s="165"/>
      <c r="AV211" s="178"/>
      <c r="AW211" s="178"/>
      <c r="AX211" s="178"/>
      <c r="AY211" s="178"/>
      <c r="AZ211" s="178"/>
      <c r="BA211" s="183"/>
      <c r="BB211" s="184"/>
    </row>
    <row r="212" spans="29:54" ht="15.75"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72"/>
      <c r="AO212" s="172"/>
      <c r="AP212" s="165"/>
      <c r="AQ212" s="165"/>
      <c r="AR212" s="178"/>
      <c r="AS212" s="178"/>
      <c r="AT212" s="178"/>
      <c r="AU212" s="165"/>
      <c r="AV212" s="178"/>
      <c r="AW212" s="178"/>
      <c r="AX212" s="178"/>
      <c r="AY212" s="178"/>
      <c r="AZ212" s="178"/>
      <c r="BA212" s="183"/>
      <c r="BB212" s="184"/>
    </row>
    <row r="213" spans="29:54" ht="15.75"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72"/>
      <c r="AO213" s="172"/>
      <c r="AP213" s="165"/>
      <c r="AQ213" s="165"/>
      <c r="AR213" s="178"/>
      <c r="AS213" s="178"/>
      <c r="AT213" s="178"/>
      <c r="AU213" s="165"/>
      <c r="AV213" s="178"/>
      <c r="AW213" s="178"/>
      <c r="AX213" s="178"/>
      <c r="AY213" s="178"/>
      <c r="AZ213" s="178"/>
      <c r="BA213" s="183"/>
      <c r="BB213" s="184"/>
    </row>
    <row r="214" spans="29:54" ht="15.75"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72"/>
      <c r="AO214" s="172"/>
      <c r="AP214" s="165"/>
      <c r="AQ214" s="165"/>
      <c r="AR214" s="178"/>
      <c r="AS214" s="178"/>
      <c r="AT214" s="178"/>
      <c r="AU214" s="165"/>
      <c r="AV214" s="178"/>
      <c r="AW214" s="178"/>
      <c r="AX214" s="178"/>
      <c r="AY214" s="178"/>
      <c r="AZ214" s="178"/>
      <c r="BA214" s="183"/>
      <c r="BB214" s="184"/>
    </row>
    <row r="215" spans="29:54" ht="15.75"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72"/>
      <c r="AO215" s="172"/>
      <c r="AP215" s="165"/>
      <c r="AQ215" s="165"/>
      <c r="AR215" s="178"/>
      <c r="AS215" s="178"/>
      <c r="AT215" s="178"/>
      <c r="AU215" s="165"/>
      <c r="AV215" s="178"/>
      <c r="AW215" s="178"/>
      <c r="AX215" s="178"/>
      <c r="AY215" s="178"/>
      <c r="AZ215" s="178"/>
      <c r="BA215" s="183"/>
      <c r="BB215" s="184"/>
    </row>
    <row r="216" spans="29:54" ht="15.75"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72"/>
      <c r="AO216" s="172"/>
      <c r="AP216" s="165"/>
      <c r="AQ216" s="165"/>
      <c r="AR216" s="178"/>
      <c r="AS216" s="178"/>
      <c r="AT216" s="178"/>
      <c r="AU216" s="165"/>
      <c r="AV216" s="178"/>
      <c r="AW216" s="178"/>
      <c r="AX216" s="178"/>
      <c r="AY216" s="178"/>
      <c r="AZ216" s="178"/>
      <c r="BA216" s="183"/>
      <c r="BB216" s="184"/>
    </row>
    <row r="217" spans="29:54" ht="15.75"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72"/>
      <c r="AO217" s="172"/>
      <c r="AP217" s="165"/>
      <c r="AQ217" s="165"/>
      <c r="AR217" s="178"/>
      <c r="AS217" s="178"/>
      <c r="AT217" s="178"/>
      <c r="AU217" s="165"/>
      <c r="AV217" s="178"/>
      <c r="AW217" s="178"/>
      <c r="AX217" s="178"/>
      <c r="AY217" s="178"/>
      <c r="AZ217" s="178"/>
      <c r="BA217" s="183"/>
      <c r="BB217" s="184"/>
    </row>
    <row r="218" spans="29:54" ht="15.75"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72"/>
      <c r="AO218" s="172"/>
      <c r="AP218" s="165"/>
      <c r="AQ218" s="165"/>
      <c r="AR218" s="178"/>
      <c r="AS218" s="178"/>
      <c r="AT218" s="178"/>
      <c r="AU218" s="165"/>
      <c r="AV218" s="178"/>
      <c r="AW218" s="178"/>
      <c r="AX218" s="178"/>
      <c r="AY218" s="178"/>
      <c r="AZ218" s="178"/>
      <c r="BA218" s="183"/>
      <c r="BB218" s="184"/>
    </row>
    <row r="219" spans="29:54" ht="15.75"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72"/>
      <c r="AO219" s="172"/>
      <c r="AP219" s="165"/>
      <c r="AQ219" s="165"/>
      <c r="AR219" s="178"/>
      <c r="AS219" s="178"/>
      <c r="AT219" s="178"/>
      <c r="AU219" s="165"/>
      <c r="AV219" s="178"/>
      <c r="AW219" s="178"/>
      <c r="AX219" s="178"/>
      <c r="AY219" s="178"/>
      <c r="AZ219" s="178"/>
      <c r="BA219" s="183"/>
      <c r="BB219" s="184"/>
    </row>
    <row r="220" spans="29:54" ht="15.75"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72"/>
      <c r="AO220" s="172"/>
      <c r="AP220" s="165"/>
      <c r="AQ220" s="165"/>
      <c r="AR220" s="178"/>
      <c r="AS220" s="178"/>
      <c r="AT220" s="178"/>
      <c r="AU220" s="165"/>
      <c r="AV220" s="178"/>
      <c r="AW220" s="178"/>
      <c r="AX220" s="178"/>
      <c r="AY220" s="178"/>
      <c r="AZ220" s="178"/>
      <c r="BA220" s="183"/>
      <c r="BB220" s="184"/>
    </row>
    <row r="221" spans="29:54" ht="15.75"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72"/>
      <c r="AO221" s="172"/>
      <c r="AP221" s="165"/>
      <c r="AQ221" s="165"/>
      <c r="AR221" s="178"/>
      <c r="AS221" s="178"/>
      <c r="AT221" s="178"/>
      <c r="AU221" s="165"/>
      <c r="AV221" s="178"/>
      <c r="AW221" s="178"/>
      <c r="AX221" s="178"/>
      <c r="AY221" s="178"/>
      <c r="AZ221" s="178"/>
      <c r="BA221" s="183"/>
      <c r="BB221" s="184"/>
    </row>
    <row r="222" spans="29:54" ht="15.75"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72"/>
      <c r="AO222" s="172"/>
      <c r="AP222" s="165"/>
      <c r="AQ222" s="165"/>
      <c r="AR222" s="178"/>
      <c r="AS222" s="178"/>
      <c r="AT222" s="178"/>
      <c r="AU222" s="165"/>
      <c r="AV222" s="178"/>
      <c r="AW222" s="178"/>
      <c r="AX222" s="178"/>
      <c r="AY222" s="178"/>
      <c r="AZ222" s="178"/>
      <c r="BA222" s="183"/>
      <c r="BB222" s="184"/>
    </row>
    <row r="223" spans="29:54" ht="15.75"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72"/>
      <c r="AO223" s="172"/>
      <c r="AP223" s="165"/>
      <c r="AQ223" s="165"/>
      <c r="AR223" s="178"/>
      <c r="AS223" s="178"/>
      <c r="AT223" s="178"/>
      <c r="AU223" s="165"/>
      <c r="AV223" s="178"/>
      <c r="AW223" s="178"/>
      <c r="AX223" s="178"/>
      <c r="AY223" s="178"/>
      <c r="AZ223" s="178"/>
      <c r="BA223" s="183"/>
      <c r="BB223" s="184"/>
    </row>
    <row r="224" spans="29:54" ht="15.75"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72"/>
      <c r="AO224" s="172"/>
      <c r="AP224" s="165"/>
      <c r="AQ224" s="165"/>
      <c r="AR224" s="178"/>
      <c r="AS224" s="178"/>
      <c r="AT224" s="178"/>
      <c r="AU224" s="165"/>
      <c r="AV224" s="178"/>
      <c r="AW224" s="178"/>
      <c r="AX224" s="178"/>
      <c r="AY224" s="178"/>
      <c r="AZ224" s="178"/>
      <c r="BA224" s="183"/>
      <c r="BB224" s="184"/>
    </row>
    <row r="225" spans="29:54" ht="15.75"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72"/>
      <c r="AO225" s="172"/>
      <c r="AP225" s="165"/>
      <c r="AQ225" s="165"/>
      <c r="AR225" s="178"/>
      <c r="AS225" s="178"/>
      <c r="AT225" s="178"/>
      <c r="AU225" s="165"/>
      <c r="AV225" s="178"/>
      <c r="AW225" s="178"/>
      <c r="AX225" s="178"/>
      <c r="AY225" s="178"/>
      <c r="AZ225" s="178"/>
      <c r="BA225" s="183"/>
      <c r="BB225" s="184"/>
    </row>
    <row r="226" spans="29:54" ht="15.75"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72"/>
      <c r="AO226" s="172"/>
      <c r="AP226" s="165"/>
      <c r="AQ226" s="165"/>
      <c r="AR226" s="178"/>
      <c r="AS226" s="178"/>
      <c r="AT226" s="178"/>
      <c r="AU226" s="165"/>
      <c r="AV226" s="178"/>
      <c r="AW226" s="178"/>
      <c r="AX226" s="178"/>
      <c r="AY226" s="178"/>
      <c r="AZ226" s="178"/>
      <c r="BA226" s="183"/>
      <c r="BB226" s="184"/>
    </row>
    <row r="227" spans="29:54" ht="15.75"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72"/>
      <c r="AO227" s="172"/>
      <c r="AP227" s="165"/>
      <c r="AQ227" s="165"/>
      <c r="AR227" s="178"/>
      <c r="AS227" s="178"/>
      <c r="AT227" s="178"/>
      <c r="AU227" s="165"/>
      <c r="AV227" s="178"/>
      <c r="AW227" s="178"/>
      <c r="AX227" s="178"/>
      <c r="AY227" s="178"/>
      <c r="AZ227" s="178"/>
      <c r="BA227" s="183"/>
      <c r="BB227" s="184"/>
    </row>
    <row r="228" spans="29:54" ht="15.75"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72"/>
      <c r="AO228" s="172"/>
      <c r="AP228" s="165"/>
      <c r="AQ228" s="165"/>
      <c r="AR228" s="178"/>
      <c r="AS228" s="178"/>
      <c r="AT228" s="178"/>
      <c r="AU228" s="165"/>
      <c r="AV228" s="178"/>
      <c r="AW228" s="178"/>
      <c r="AX228" s="178"/>
      <c r="AY228" s="178"/>
      <c r="AZ228" s="178"/>
      <c r="BA228" s="183"/>
      <c r="BB228" s="184"/>
    </row>
    <row r="229" spans="29:54" ht="15.75"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72"/>
      <c r="AO229" s="172"/>
      <c r="AP229" s="165"/>
      <c r="AQ229" s="165"/>
      <c r="AR229" s="178"/>
      <c r="AS229" s="178"/>
      <c r="AT229" s="178"/>
      <c r="AU229" s="165"/>
      <c r="AV229" s="178"/>
      <c r="AW229" s="178"/>
      <c r="AX229" s="178"/>
      <c r="AY229" s="178"/>
      <c r="AZ229" s="178"/>
      <c r="BA229" s="183"/>
      <c r="BB229" s="184"/>
    </row>
    <row r="230" spans="29:54" ht="15.75"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72"/>
      <c r="AO230" s="172"/>
      <c r="AP230" s="165"/>
      <c r="AQ230" s="165"/>
      <c r="AR230" s="178"/>
      <c r="AS230" s="178"/>
      <c r="AT230" s="178"/>
      <c r="AU230" s="165"/>
      <c r="AV230" s="178"/>
      <c r="AW230" s="178"/>
      <c r="AX230" s="178"/>
      <c r="AY230" s="178"/>
      <c r="AZ230" s="178"/>
      <c r="BA230" s="183"/>
      <c r="BB230" s="184"/>
    </row>
    <row r="231" spans="29:54" ht="15.75"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72"/>
      <c r="AO231" s="172"/>
      <c r="AP231" s="165"/>
      <c r="AQ231" s="165"/>
      <c r="AR231" s="178"/>
      <c r="AS231" s="178"/>
      <c r="AT231" s="178"/>
      <c r="AU231" s="165"/>
      <c r="AV231" s="178"/>
      <c r="AW231" s="178"/>
      <c r="AX231" s="178"/>
      <c r="AY231" s="178"/>
      <c r="AZ231" s="178"/>
      <c r="BA231" s="183"/>
      <c r="BB231" s="184"/>
    </row>
    <row r="232" spans="29:54" ht="15.75"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72"/>
      <c r="AO232" s="172"/>
      <c r="AP232" s="165"/>
      <c r="AQ232" s="165"/>
      <c r="AR232" s="178"/>
      <c r="AS232" s="178"/>
      <c r="AT232" s="178"/>
      <c r="AU232" s="165"/>
      <c r="AV232" s="178"/>
      <c r="AW232" s="178"/>
      <c r="AX232" s="178"/>
      <c r="AY232" s="178"/>
      <c r="AZ232" s="178"/>
      <c r="BA232" s="183"/>
      <c r="BB232" s="184"/>
    </row>
    <row r="233" spans="29:54" ht="15.75"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72"/>
      <c r="AO233" s="172"/>
      <c r="AP233" s="165"/>
      <c r="AQ233" s="165"/>
      <c r="AR233" s="178"/>
      <c r="AS233" s="178"/>
      <c r="AT233" s="178"/>
      <c r="AU233" s="165"/>
      <c r="AV233" s="178"/>
      <c r="AW233" s="178"/>
      <c r="AX233" s="178"/>
      <c r="AY233" s="178"/>
      <c r="AZ233" s="178"/>
      <c r="BA233" s="183"/>
      <c r="BB233" s="184"/>
    </row>
    <row r="234" spans="29:54" ht="15.75"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72"/>
      <c r="AO234" s="172"/>
      <c r="AP234" s="165"/>
      <c r="AQ234" s="165"/>
      <c r="AR234" s="178"/>
      <c r="AS234" s="178"/>
      <c r="AT234" s="178"/>
      <c r="AU234" s="165"/>
      <c r="AV234" s="178"/>
      <c r="AW234" s="178"/>
      <c r="AX234" s="178"/>
      <c r="AY234" s="178"/>
      <c r="AZ234" s="178"/>
      <c r="BA234" s="183"/>
      <c r="BB234" s="184"/>
    </row>
    <row r="235" spans="29:54" ht="15.75"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72"/>
      <c r="AO235" s="172"/>
      <c r="AP235" s="165"/>
      <c r="AQ235" s="165"/>
      <c r="AR235" s="178"/>
      <c r="AS235" s="178"/>
      <c r="AT235" s="178"/>
      <c r="AU235" s="165"/>
      <c r="AV235" s="178"/>
      <c r="AW235" s="178"/>
      <c r="AX235" s="178"/>
      <c r="AY235" s="178"/>
      <c r="AZ235" s="178"/>
      <c r="BA235" s="183"/>
      <c r="BB235" s="184"/>
    </row>
    <row r="236" spans="29:54" ht="15.75"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72"/>
      <c r="AO236" s="172"/>
      <c r="AP236" s="165"/>
      <c r="AQ236" s="165"/>
      <c r="AR236" s="178"/>
      <c r="AS236" s="178"/>
      <c r="AT236" s="178"/>
      <c r="AU236" s="165"/>
      <c r="AV236" s="178"/>
      <c r="AW236" s="178"/>
      <c r="AX236" s="178"/>
      <c r="AY236" s="178"/>
      <c r="AZ236" s="178"/>
      <c r="BA236" s="183"/>
      <c r="BB236" s="184"/>
    </row>
    <row r="237" spans="29:54" ht="15.75"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72"/>
      <c r="AO237" s="172"/>
      <c r="AP237" s="165"/>
      <c r="AQ237" s="165"/>
      <c r="AR237" s="178"/>
      <c r="AS237" s="178"/>
      <c r="AT237" s="178"/>
      <c r="AU237" s="165"/>
      <c r="AV237" s="178"/>
      <c r="AW237" s="178"/>
      <c r="AX237" s="178"/>
      <c r="AY237" s="178"/>
      <c r="AZ237" s="178"/>
      <c r="BA237" s="183"/>
      <c r="BB237" s="184"/>
    </row>
    <row r="238" spans="29:54" ht="15.75"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72"/>
      <c r="AO238" s="172"/>
      <c r="AP238" s="165"/>
      <c r="AQ238" s="165"/>
      <c r="AR238" s="178"/>
      <c r="AS238" s="178"/>
      <c r="AT238" s="178"/>
      <c r="AU238" s="165"/>
      <c r="AV238" s="178"/>
      <c r="AW238" s="178"/>
      <c r="AX238" s="178"/>
      <c r="AY238" s="178"/>
      <c r="AZ238" s="178"/>
      <c r="BA238" s="183"/>
      <c r="BB238" s="184"/>
    </row>
    <row r="239" spans="29:54" ht="15.75"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72"/>
      <c r="AO239" s="172"/>
      <c r="AP239" s="165"/>
      <c r="AQ239" s="165"/>
      <c r="AR239" s="178"/>
      <c r="AS239" s="178"/>
      <c r="AT239" s="178"/>
      <c r="AU239" s="165"/>
      <c r="AV239" s="178"/>
      <c r="AW239" s="178"/>
      <c r="AX239" s="178"/>
      <c r="AY239" s="178"/>
      <c r="AZ239" s="178"/>
      <c r="BA239" s="183"/>
      <c r="BB239" s="184"/>
    </row>
    <row r="240" spans="29:54" ht="15.75"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72"/>
      <c r="AO240" s="172"/>
      <c r="AP240" s="165"/>
      <c r="AQ240" s="165"/>
      <c r="AR240" s="178"/>
      <c r="AS240" s="178"/>
      <c r="AT240" s="178"/>
      <c r="AU240" s="165"/>
      <c r="AV240" s="178"/>
      <c r="AW240" s="178"/>
      <c r="AX240" s="178"/>
      <c r="AY240" s="178"/>
      <c r="AZ240" s="178"/>
      <c r="BA240" s="183"/>
      <c r="BB240" s="184"/>
    </row>
    <row r="241" spans="29:54" ht="15.75"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72"/>
      <c r="AO241" s="172"/>
      <c r="AP241" s="165"/>
      <c r="AQ241" s="165"/>
      <c r="AR241" s="178"/>
      <c r="AS241" s="178"/>
      <c r="AT241" s="178"/>
      <c r="AU241" s="165"/>
      <c r="AV241" s="178"/>
      <c r="AW241" s="178"/>
      <c r="AX241" s="178"/>
      <c r="AY241" s="178"/>
      <c r="AZ241" s="178"/>
      <c r="BA241" s="183"/>
      <c r="BB241" s="184"/>
    </row>
    <row r="242" spans="29:54" ht="15.75"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72"/>
      <c r="AO242" s="172"/>
      <c r="AP242" s="165"/>
      <c r="AQ242" s="165"/>
      <c r="AR242" s="178"/>
      <c r="AS242" s="178"/>
      <c r="AT242" s="178"/>
      <c r="AU242" s="165"/>
      <c r="AV242" s="178"/>
      <c r="AW242" s="178"/>
      <c r="AX242" s="178"/>
      <c r="AY242" s="178"/>
      <c r="AZ242" s="178"/>
      <c r="BA242" s="183"/>
      <c r="BB242" s="184"/>
    </row>
    <row r="243" spans="29:54" ht="15.75"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72"/>
      <c r="AO243" s="172"/>
      <c r="AP243" s="165"/>
      <c r="AQ243" s="165"/>
      <c r="AR243" s="178"/>
      <c r="AS243" s="178"/>
      <c r="AT243" s="178"/>
      <c r="AU243" s="165"/>
      <c r="AV243" s="178"/>
      <c r="AW243" s="178"/>
      <c r="AX243" s="178"/>
      <c r="AY243" s="178"/>
      <c r="AZ243" s="178"/>
      <c r="BA243" s="183"/>
      <c r="BB243" s="184"/>
    </row>
    <row r="244" spans="29:54" ht="15.75"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72"/>
      <c r="AO244" s="172"/>
      <c r="AP244" s="165"/>
      <c r="AQ244" s="165"/>
      <c r="AR244" s="178"/>
      <c r="AS244" s="178"/>
      <c r="AT244" s="178"/>
      <c r="AU244" s="165"/>
      <c r="AV244" s="178"/>
      <c r="AW244" s="178"/>
      <c r="AX244" s="178"/>
      <c r="AY244" s="178"/>
      <c r="AZ244" s="178"/>
      <c r="BA244" s="183"/>
      <c r="BB244" s="184"/>
    </row>
    <row r="245" spans="29:54" ht="15.75"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72"/>
      <c r="AO245" s="172"/>
      <c r="AP245" s="165"/>
      <c r="AQ245" s="165"/>
      <c r="AR245" s="178"/>
      <c r="AS245" s="178"/>
      <c r="AT245" s="178"/>
      <c r="AU245" s="165"/>
      <c r="AV245" s="178"/>
      <c r="AW245" s="178"/>
      <c r="AX245" s="178"/>
      <c r="AY245" s="178"/>
      <c r="AZ245" s="178"/>
      <c r="BA245" s="183"/>
      <c r="BB245" s="184"/>
    </row>
    <row r="246" spans="29:54" ht="15.75"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72"/>
      <c r="AO246" s="172"/>
      <c r="AP246" s="165"/>
      <c r="AQ246" s="165"/>
      <c r="AR246" s="178"/>
      <c r="AS246" s="178"/>
      <c r="AT246" s="178"/>
      <c r="AU246" s="165"/>
      <c r="AV246" s="178"/>
      <c r="AW246" s="178"/>
      <c r="AX246" s="178"/>
      <c r="AY246" s="178"/>
      <c r="AZ246" s="178"/>
      <c r="BA246" s="183"/>
      <c r="BB246" s="184"/>
    </row>
    <row r="247" spans="29:54" ht="15.75"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72"/>
      <c r="AO247" s="172"/>
      <c r="AP247" s="165"/>
      <c r="AQ247" s="165"/>
      <c r="AR247" s="178"/>
      <c r="AS247" s="178"/>
      <c r="AT247" s="178"/>
      <c r="AU247" s="165"/>
      <c r="AV247" s="178"/>
      <c r="AW247" s="178"/>
      <c r="AX247" s="178"/>
      <c r="AY247" s="178"/>
      <c r="AZ247" s="178"/>
      <c r="BA247" s="183"/>
      <c r="BB247" s="184"/>
    </row>
    <row r="248" spans="29:54" ht="15.75"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72"/>
      <c r="AO248" s="172"/>
      <c r="AP248" s="165"/>
      <c r="AQ248" s="165"/>
      <c r="AR248" s="178"/>
      <c r="AS248" s="178"/>
      <c r="AT248" s="178"/>
      <c r="AU248" s="165"/>
      <c r="AV248" s="178"/>
      <c r="AW248" s="178"/>
      <c r="AX248" s="178"/>
      <c r="AY248" s="178"/>
      <c r="AZ248" s="178"/>
      <c r="BA248" s="183"/>
      <c r="BB248" s="184"/>
    </row>
    <row r="249" spans="29:54" ht="15.75"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72"/>
      <c r="AO249" s="172"/>
      <c r="AP249" s="165"/>
      <c r="AQ249" s="165"/>
      <c r="AR249" s="178"/>
      <c r="AS249" s="178"/>
      <c r="AT249" s="178"/>
      <c r="AU249" s="165"/>
      <c r="AV249" s="178"/>
      <c r="AW249" s="178"/>
      <c r="AX249" s="178"/>
      <c r="AY249" s="178"/>
      <c r="AZ249" s="178"/>
      <c r="BA249" s="183"/>
      <c r="BB249" s="184"/>
    </row>
    <row r="250" spans="29:54" ht="15.75"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72"/>
      <c r="AO250" s="172"/>
      <c r="AP250" s="165"/>
      <c r="AQ250" s="165"/>
      <c r="AR250" s="178"/>
      <c r="AS250" s="178"/>
      <c r="AT250" s="178"/>
      <c r="AU250" s="165"/>
      <c r="AV250" s="178"/>
      <c r="AW250" s="178"/>
      <c r="AX250" s="178"/>
      <c r="AY250" s="178"/>
      <c r="AZ250" s="178"/>
      <c r="BA250" s="183"/>
      <c r="BB250" s="184"/>
    </row>
    <row r="251" spans="29:54" ht="15.75"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72"/>
      <c r="AO251" s="172"/>
      <c r="AP251" s="165"/>
      <c r="AQ251" s="165"/>
      <c r="AR251" s="178"/>
      <c r="AS251" s="178"/>
      <c r="AT251" s="178"/>
      <c r="AU251" s="165"/>
      <c r="AV251" s="178"/>
      <c r="AW251" s="178"/>
      <c r="AX251" s="178"/>
      <c r="AY251" s="178"/>
      <c r="AZ251" s="178"/>
      <c r="BA251" s="183"/>
      <c r="BB251" s="184"/>
    </row>
    <row r="252" spans="29:54" ht="15.75"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72"/>
      <c r="AO252" s="172"/>
      <c r="AP252" s="165"/>
      <c r="AQ252" s="165"/>
      <c r="AR252" s="178"/>
      <c r="AS252" s="178"/>
      <c r="AT252" s="178"/>
      <c r="AU252" s="165"/>
      <c r="AV252" s="178"/>
      <c r="AW252" s="178"/>
      <c r="AX252" s="178"/>
      <c r="AY252" s="178"/>
      <c r="AZ252" s="178"/>
      <c r="BA252" s="183"/>
      <c r="BB252" s="184"/>
    </row>
    <row r="253" spans="29:54" ht="15.75"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72"/>
      <c r="AO253" s="172"/>
      <c r="AP253" s="165"/>
      <c r="AQ253" s="165"/>
      <c r="AR253" s="178"/>
      <c r="AS253" s="178"/>
      <c r="AT253" s="178"/>
      <c r="AU253" s="165"/>
      <c r="AV253" s="178"/>
      <c r="AW253" s="178"/>
      <c r="AX253" s="178"/>
      <c r="AY253" s="178"/>
      <c r="AZ253" s="178"/>
      <c r="BA253" s="183"/>
      <c r="BB253" s="184"/>
    </row>
    <row r="254" spans="29:54" ht="15.75"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72"/>
      <c r="AO254" s="172"/>
      <c r="AP254" s="165"/>
      <c r="AQ254" s="165"/>
      <c r="AR254" s="178"/>
      <c r="AS254" s="178"/>
      <c r="AT254" s="178"/>
      <c r="AU254" s="165"/>
      <c r="AV254" s="178"/>
      <c r="AW254" s="178"/>
      <c r="AX254" s="178"/>
      <c r="AY254" s="178"/>
      <c r="AZ254" s="178"/>
      <c r="BA254" s="183"/>
      <c r="BB254" s="184"/>
    </row>
    <row r="255" spans="29:54" ht="15.75"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72"/>
      <c r="AO255" s="172"/>
      <c r="AP255" s="165"/>
      <c r="AQ255" s="165"/>
      <c r="AR255" s="178"/>
      <c r="AS255" s="178"/>
      <c r="AT255" s="178"/>
      <c r="AU255" s="165"/>
      <c r="AV255" s="178"/>
      <c r="AW255" s="178"/>
      <c r="AX255" s="178"/>
      <c r="AY255" s="178"/>
      <c r="AZ255" s="178"/>
      <c r="BA255" s="183"/>
      <c r="BB255" s="184"/>
    </row>
    <row r="256" spans="29:54" ht="15.75"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72"/>
      <c r="AO256" s="172"/>
      <c r="AP256" s="165"/>
      <c r="AQ256" s="165"/>
      <c r="AR256" s="178"/>
      <c r="AS256" s="178"/>
      <c r="AT256" s="178"/>
      <c r="AU256" s="165"/>
      <c r="AV256" s="178"/>
      <c r="AW256" s="178"/>
      <c r="AX256" s="178"/>
      <c r="AY256" s="178"/>
      <c r="AZ256" s="178"/>
      <c r="BA256" s="183"/>
      <c r="BB256" s="184"/>
    </row>
    <row r="257" spans="29:54" ht="15.75"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72"/>
      <c r="AO257" s="172"/>
      <c r="AP257" s="165"/>
      <c r="AQ257" s="165"/>
      <c r="AR257" s="178"/>
      <c r="AS257" s="178"/>
      <c r="AT257" s="178"/>
      <c r="AU257" s="165"/>
      <c r="AV257" s="178"/>
      <c r="AW257" s="178"/>
      <c r="AX257" s="178"/>
      <c r="AY257" s="178"/>
      <c r="AZ257" s="178"/>
      <c r="BA257" s="183"/>
      <c r="BB257" s="184"/>
    </row>
    <row r="258" spans="29:54" ht="15.75"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72"/>
      <c r="AO258" s="172"/>
      <c r="AP258" s="165"/>
      <c r="AQ258" s="165"/>
      <c r="AR258" s="178"/>
      <c r="AS258" s="178"/>
      <c r="AT258" s="178"/>
      <c r="AU258" s="165"/>
      <c r="AV258" s="178"/>
      <c r="AW258" s="178"/>
      <c r="AX258" s="178"/>
      <c r="AY258" s="178"/>
      <c r="AZ258" s="178"/>
      <c r="BA258" s="183"/>
      <c r="BB258" s="184"/>
    </row>
    <row r="259" spans="29:54" ht="15.75"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72"/>
      <c r="AO259" s="172"/>
      <c r="AP259" s="165"/>
      <c r="AQ259" s="165"/>
      <c r="AR259" s="178"/>
      <c r="AS259" s="178"/>
      <c r="AT259" s="178"/>
      <c r="AU259" s="165"/>
      <c r="AV259" s="178"/>
      <c r="AW259" s="178"/>
      <c r="AX259" s="178"/>
      <c r="AY259" s="178"/>
      <c r="AZ259" s="178"/>
      <c r="BA259" s="183"/>
      <c r="BB259" s="184"/>
    </row>
    <row r="260" spans="29:54" ht="15.75"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72"/>
      <c r="AO260" s="172"/>
      <c r="AP260" s="165"/>
      <c r="AQ260" s="165"/>
      <c r="AR260" s="178"/>
      <c r="AS260" s="178"/>
      <c r="AT260" s="178"/>
      <c r="AU260" s="165"/>
      <c r="AV260" s="178"/>
      <c r="AW260" s="178"/>
      <c r="AX260" s="178"/>
      <c r="AY260" s="178"/>
      <c r="AZ260" s="178"/>
      <c r="BA260" s="183"/>
      <c r="BB260" s="184"/>
    </row>
    <row r="261" spans="29:54" ht="15.75"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72"/>
      <c r="AO261" s="172"/>
      <c r="AP261" s="165"/>
      <c r="AQ261" s="165"/>
      <c r="AR261" s="178"/>
      <c r="AS261" s="178"/>
      <c r="AT261" s="178"/>
      <c r="AU261" s="165"/>
      <c r="AV261" s="178"/>
      <c r="AW261" s="178"/>
      <c r="AX261" s="178"/>
      <c r="AY261" s="178"/>
      <c r="AZ261" s="178"/>
      <c r="BA261" s="183"/>
      <c r="BB261" s="184"/>
    </row>
    <row r="262" spans="29:54" ht="15.75"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72"/>
      <c r="AO262" s="172"/>
      <c r="AP262" s="165"/>
      <c r="AQ262" s="165"/>
      <c r="AR262" s="178"/>
      <c r="AS262" s="178"/>
      <c r="AT262" s="178"/>
      <c r="AU262" s="165"/>
      <c r="AV262" s="178"/>
      <c r="AW262" s="178"/>
      <c r="AX262" s="178"/>
      <c r="AY262" s="178"/>
      <c r="AZ262" s="178"/>
      <c r="BA262" s="183"/>
      <c r="BB262" s="184"/>
    </row>
    <row r="263" spans="29:54" ht="15.75"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72"/>
      <c r="AO263" s="172"/>
      <c r="AP263" s="165"/>
      <c r="AQ263" s="165"/>
      <c r="AR263" s="178"/>
      <c r="AS263" s="178"/>
      <c r="AT263" s="178"/>
      <c r="AU263" s="165"/>
      <c r="AV263" s="178"/>
      <c r="AW263" s="178"/>
      <c r="AX263" s="178"/>
      <c r="AY263" s="178"/>
      <c r="AZ263" s="178"/>
      <c r="BA263" s="183"/>
      <c r="BB263" s="184"/>
    </row>
    <row r="264" spans="29:54" ht="15.75"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72"/>
      <c r="AO264" s="172"/>
      <c r="AP264" s="165"/>
      <c r="AQ264" s="165"/>
      <c r="AR264" s="178"/>
      <c r="AS264" s="178"/>
      <c r="AT264" s="178"/>
      <c r="AU264" s="165"/>
      <c r="AV264" s="178"/>
      <c r="AW264" s="178"/>
      <c r="AX264" s="178"/>
      <c r="AY264" s="178"/>
      <c r="AZ264" s="178"/>
      <c r="BA264" s="183"/>
      <c r="BB264" s="184"/>
    </row>
    <row r="265" spans="29:54" ht="15.75"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72"/>
      <c r="AO265" s="172"/>
      <c r="AP265" s="165"/>
      <c r="AQ265" s="165"/>
      <c r="AR265" s="178"/>
      <c r="AS265" s="178"/>
      <c r="AT265" s="178"/>
      <c r="AU265" s="165"/>
      <c r="AV265" s="178"/>
      <c r="AW265" s="178"/>
      <c r="AX265" s="178"/>
      <c r="AY265" s="178"/>
      <c r="AZ265" s="178"/>
      <c r="BA265" s="183"/>
      <c r="BB265" s="184"/>
    </row>
    <row r="266" spans="29:54" ht="15.75"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72"/>
      <c r="AO266" s="172"/>
      <c r="AP266" s="165"/>
      <c r="AQ266" s="165"/>
      <c r="AR266" s="178"/>
      <c r="AS266" s="178"/>
      <c r="AT266" s="178"/>
      <c r="AU266" s="165"/>
      <c r="AV266" s="178"/>
      <c r="AW266" s="178"/>
      <c r="AX266" s="178"/>
      <c r="AY266" s="178"/>
      <c r="AZ266" s="178"/>
      <c r="BA266" s="183"/>
      <c r="BB266" s="184"/>
    </row>
    <row r="267" spans="29:54" ht="15.75"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72"/>
      <c r="AO267" s="172"/>
      <c r="AP267" s="165"/>
      <c r="AQ267" s="165"/>
      <c r="AR267" s="178"/>
      <c r="AS267" s="178"/>
      <c r="AT267" s="178"/>
      <c r="AU267" s="165"/>
      <c r="AV267" s="178"/>
      <c r="AW267" s="178"/>
      <c r="AX267" s="178"/>
      <c r="AY267" s="178"/>
      <c r="AZ267" s="178"/>
      <c r="BA267" s="183"/>
      <c r="BB267" s="184"/>
    </row>
    <row r="268" spans="29:54" ht="15.75"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72"/>
      <c r="AO268" s="172"/>
      <c r="AP268" s="165"/>
      <c r="AQ268" s="165"/>
      <c r="AR268" s="178"/>
      <c r="AS268" s="178"/>
      <c r="AT268" s="178"/>
      <c r="AU268" s="165"/>
      <c r="AV268" s="178"/>
      <c r="AW268" s="178"/>
      <c r="AX268" s="178"/>
      <c r="AY268" s="178"/>
      <c r="AZ268" s="178"/>
      <c r="BA268" s="183"/>
      <c r="BB268" s="184"/>
    </row>
    <row r="269" spans="29:54" ht="15.75"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72"/>
      <c r="AO269" s="172"/>
      <c r="AP269" s="165"/>
      <c r="AQ269" s="165"/>
      <c r="AR269" s="178"/>
      <c r="AS269" s="178"/>
      <c r="AT269" s="178"/>
      <c r="AU269" s="165"/>
      <c r="AV269" s="178"/>
      <c r="AW269" s="178"/>
      <c r="AX269" s="178"/>
      <c r="AY269" s="178"/>
      <c r="AZ269" s="178"/>
      <c r="BA269" s="183"/>
      <c r="BB269" s="184"/>
    </row>
    <row r="270" spans="29:54" ht="15.75"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72"/>
      <c r="AO270" s="172"/>
      <c r="AP270" s="165"/>
      <c r="AQ270" s="165"/>
      <c r="AR270" s="178"/>
      <c r="AS270" s="178"/>
      <c r="AT270" s="178"/>
      <c r="AU270" s="165"/>
      <c r="AV270" s="178"/>
      <c r="AW270" s="178"/>
      <c r="AX270" s="178"/>
      <c r="AY270" s="178"/>
      <c r="AZ270" s="178"/>
      <c r="BA270" s="183"/>
      <c r="BB270" s="184"/>
    </row>
    <row r="271" spans="29:54" ht="15.75"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72"/>
      <c r="AO271" s="172"/>
      <c r="AP271" s="165"/>
      <c r="AQ271" s="165"/>
      <c r="AR271" s="178"/>
      <c r="AS271" s="178"/>
      <c r="AT271" s="178"/>
      <c r="AU271" s="165"/>
      <c r="AV271" s="178"/>
      <c r="AW271" s="178"/>
      <c r="AX271" s="178"/>
      <c r="AY271" s="178"/>
      <c r="AZ271" s="178"/>
      <c r="BA271" s="183"/>
      <c r="BB271" s="184"/>
    </row>
    <row r="272" spans="29:54" ht="15.75"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72"/>
      <c r="AO272" s="172"/>
      <c r="AP272" s="165"/>
      <c r="AQ272" s="165"/>
      <c r="AR272" s="178"/>
      <c r="AS272" s="178"/>
      <c r="AT272" s="178"/>
      <c r="AU272" s="165"/>
      <c r="AV272" s="178"/>
      <c r="AW272" s="178"/>
      <c r="AX272" s="178"/>
      <c r="AY272" s="178"/>
      <c r="AZ272" s="178"/>
      <c r="BA272" s="183"/>
      <c r="BB272" s="184"/>
    </row>
    <row r="273" spans="29:54" ht="15.75"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72"/>
      <c r="AO273" s="172"/>
      <c r="AP273" s="165"/>
      <c r="AQ273" s="165"/>
      <c r="AR273" s="178"/>
      <c r="AS273" s="178"/>
      <c r="AT273" s="178"/>
      <c r="AU273" s="165"/>
      <c r="AV273" s="178"/>
      <c r="AW273" s="178"/>
      <c r="AX273" s="178"/>
      <c r="AY273" s="178"/>
      <c r="AZ273" s="178"/>
      <c r="BA273" s="183"/>
      <c r="BB273" s="184"/>
    </row>
    <row r="274" spans="29:54" ht="15.75"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72"/>
      <c r="AO274" s="172"/>
      <c r="AP274" s="165"/>
      <c r="AQ274" s="165"/>
      <c r="AR274" s="178"/>
      <c r="AS274" s="178"/>
      <c r="AT274" s="178"/>
      <c r="AU274" s="165"/>
      <c r="AV274" s="178"/>
      <c r="AW274" s="178"/>
      <c r="AX274" s="178"/>
      <c r="AY274" s="178"/>
      <c r="AZ274" s="178"/>
      <c r="BA274" s="183"/>
      <c r="BB274" s="184"/>
    </row>
    <row r="275" spans="29:54" ht="15.75"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72"/>
      <c r="AO275" s="172"/>
      <c r="AP275" s="165"/>
      <c r="AQ275" s="165"/>
      <c r="AR275" s="178"/>
      <c r="AS275" s="178"/>
      <c r="AT275" s="178"/>
      <c r="AU275" s="165"/>
      <c r="AV275" s="178"/>
      <c r="AW275" s="178"/>
      <c r="AX275" s="178"/>
      <c r="AY275" s="178"/>
      <c r="AZ275" s="178"/>
      <c r="BA275" s="183"/>
      <c r="BB275" s="184"/>
    </row>
    <row r="276" spans="29:54" ht="15.75"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72"/>
      <c r="AO276" s="172"/>
      <c r="AP276" s="165"/>
      <c r="AQ276" s="165"/>
      <c r="AR276" s="178"/>
      <c r="AS276" s="178"/>
      <c r="AT276" s="178"/>
      <c r="AU276" s="165"/>
      <c r="AV276" s="178"/>
      <c r="AW276" s="178"/>
      <c r="AX276" s="178"/>
      <c r="AY276" s="178"/>
      <c r="AZ276" s="178"/>
      <c r="BA276" s="183"/>
      <c r="BB276" s="184"/>
    </row>
    <row r="277" spans="29:54" ht="15.75"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72"/>
      <c r="AO277" s="172"/>
      <c r="AP277" s="165"/>
      <c r="AQ277" s="165"/>
      <c r="AR277" s="178"/>
      <c r="AS277" s="178"/>
      <c r="AT277" s="178"/>
      <c r="AU277" s="165"/>
      <c r="AV277" s="178"/>
      <c r="AW277" s="178"/>
      <c r="AX277" s="178"/>
      <c r="AY277" s="178"/>
      <c r="AZ277" s="178"/>
      <c r="BA277" s="183"/>
      <c r="BB277" s="184"/>
    </row>
    <row r="278" spans="29:54" ht="15.75"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72"/>
      <c r="AO278" s="172"/>
      <c r="AP278" s="165"/>
      <c r="AQ278" s="165"/>
      <c r="AR278" s="178"/>
      <c r="AS278" s="178"/>
      <c r="AT278" s="178"/>
      <c r="AU278" s="165"/>
      <c r="AV278" s="178"/>
      <c r="AW278" s="178"/>
      <c r="AX278" s="178"/>
      <c r="AY278" s="178"/>
      <c r="AZ278" s="178"/>
      <c r="BA278" s="183"/>
      <c r="BB278" s="184"/>
    </row>
    <row r="279" spans="29:54" ht="15.75"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72"/>
      <c r="AO279" s="172"/>
      <c r="AP279" s="165"/>
      <c r="AQ279" s="165"/>
      <c r="AR279" s="178"/>
      <c r="AS279" s="178"/>
      <c r="AT279" s="178"/>
      <c r="AU279" s="165"/>
      <c r="AV279" s="178"/>
      <c r="AW279" s="178"/>
      <c r="AX279" s="178"/>
      <c r="AY279" s="178"/>
      <c r="AZ279" s="178"/>
      <c r="BA279" s="183"/>
      <c r="BB279" s="184"/>
    </row>
    <row r="280" spans="29:54" ht="15.75">
      <c r="AC280" s="165"/>
      <c r="AD280" s="165"/>
      <c r="AE280" s="165"/>
      <c r="AF280" s="165"/>
      <c r="AG280" s="165"/>
      <c r="AH280" s="165"/>
      <c r="AI280" s="165"/>
      <c r="AJ280" s="165"/>
      <c r="AK280" s="165"/>
      <c r="AL280" s="165"/>
      <c r="AM280" s="165"/>
      <c r="AN280" s="172"/>
      <c r="AO280" s="172"/>
      <c r="AP280" s="165"/>
      <c r="AQ280" s="165"/>
      <c r="AR280" s="178"/>
      <c r="AS280" s="178"/>
      <c r="AT280" s="178"/>
      <c r="AU280" s="165"/>
      <c r="AV280" s="178"/>
      <c r="AW280" s="178"/>
      <c r="AX280" s="178"/>
      <c r="AY280" s="178"/>
      <c r="AZ280" s="178"/>
      <c r="BA280" s="183"/>
      <c r="BB280" s="184"/>
    </row>
    <row r="281" spans="29:54" ht="15.75"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  <c r="AN281" s="172"/>
      <c r="AO281" s="172"/>
      <c r="AP281" s="165"/>
      <c r="AQ281" s="165"/>
      <c r="AR281" s="178"/>
      <c r="AS281" s="178"/>
      <c r="AT281" s="178"/>
      <c r="AU281" s="165"/>
      <c r="AV281" s="178"/>
      <c r="AW281" s="178"/>
      <c r="AX281" s="178"/>
      <c r="AY281" s="178"/>
      <c r="AZ281" s="178"/>
      <c r="BA281" s="183"/>
      <c r="BB281" s="184"/>
    </row>
    <row r="282" spans="29:54" ht="15.75"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  <c r="AN282" s="172"/>
      <c r="AO282" s="172"/>
      <c r="AP282" s="165"/>
      <c r="AQ282" s="165"/>
      <c r="AR282" s="178"/>
      <c r="AS282" s="178"/>
      <c r="AT282" s="178"/>
      <c r="AU282" s="165"/>
      <c r="AV282" s="178"/>
      <c r="AW282" s="178"/>
      <c r="AX282" s="178"/>
      <c r="AY282" s="178"/>
      <c r="AZ282" s="178"/>
      <c r="BA282" s="183"/>
      <c r="BB282" s="184"/>
    </row>
    <row r="283" spans="29:54" ht="15.75">
      <c r="AC283" s="165"/>
      <c r="AD283" s="165"/>
      <c r="AE283" s="165"/>
      <c r="AF283" s="165"/>
      <c r="AG283" s="165"/>
      <c r="AH283" s="165"/>
      <c r="AI283" s="165"/>
      <c r="AJ283" s="165"/>
      <c r="AK283" s="165"/>
      <c r="AL283" s="165"/>
      <c r="AM283" s="165"/>
      <c r="AN283" s="172"/>
      <c r="AO283" s="172"/>
      <c r="AP283" s="165"/>
      <c r="AQ283" s="165"/>
      <c r="AR283" s="178"/>
      <c r="AS283" s="178"/>
      <c r="AT283" s="178"/>
      <c r="AU283" s="165"/>
      <c r="AV283" s="178"/>
      <c r="AW283" s="178"/>
      <c r="AX283" s="178"/>
      <c r="AY283" s="178"/>
      <c r="AZ283" s="178"/>
      <c r="BA283" s="183"/>
      <c r="BB283" s="184"/>
    </row>
    <row r="284" spans="29:54" ht="15.75">
      <c r="AC284" s="165"/>
      <c r="AD284" s="165"/>
      <c r="AE284" s="165"/>
      <c r="AF284" s="165"/>
      <c r="AG284" s="165"/>
      <c r="AH284" s="165"/>
      <c r="AI284" s="165"/>
      <c r="AJ284" s="165"/>
      <c r="AK284" s="165"/>
      <c r="AL284" s="165"/>
      <c r="AM284" s="165"/>
      <c r="AN284" s="172"/>
      <c r="AO284" s="172"/>
      <c r="AP284" s="165"/>
      <c r="AQ284" s="165"/>
      <c r="AR284" s="178"/>
      <c r="AS284" s="178"/>
      <c r="AT284" s="178"/>
      <c r="AU284" s="165"/>
      <c r="AV284" s="178"/>
      <c r="AW284" s="178"/>
      <c r="AX284" s="178"/>
      <c r="AY284" s="178"/>
      <c r="AZ284" s="178"/>
      <c r="BA284" s="183"/>
      <c r="BB284" s="184"/>
    </row>
    <row r="285" spans="29:54" ht="15.75">
      <c r="AC285" s="165"/>
      <c r="AD285" s="165"/>
      <c r="AE285" s="165"/>
      <c r="AF285" s="165"/>
      <c r="AG285" s="165"/>
      <c r="AH285" s="165"/>
      <c r="AI285" s="165"/>
      <c r="AJ285" s="165"/>
      <c r="AK285" s="165"/>
      <c r="AL285" s="165"/>
      <c r="AM285" s="165"/>
      <c r="AN285" s="172"/>
      <c r="AO285" s="172"/>
      <c r="AP285" s="165"/>
      <c r="AQ285" s="165"/>
      <c r="AR285" s="178"/>
      <c r="AS285" s="178"/>
      <c r="AT285" s="178"/>
      <c r="AU285" s="165"/>
      <c r="AV285" s="178"/>
      <c r="AW285" s="178"/>
      <c r="AX285" s="178"/>
      <c r="AY285" s="178"/>
      <c r="AZ285" s="178"/>
      <c r="BA285" s="183"/>
      <c r="BB285" s="184"/>
    </row>
    <row r="286" spans="29:54" ht="15.75">
      <c r="AC286" s="165"/>
      <c r="AD286" s="165"/>
      <c r="AE286" s="165"/>
      <c r="AF286" s="165"/>
      <c r="AG286" s="165"/>
      <c r="AH286" s="165"/>
      <c r="AI286" s="165"/>
      <c r="AJ286" s="165"/>
      <c r="AK286" s="165"/>
      <c r="AL286" s="165"/>
      <c r="AM286" s="165"/>
      <c r="AN286" s="172"/>
      <c r="AO286" s="172"/>
      <c r="AP286" s="165"/>
      <c r="AQ286" s="165"/>
      <c r="AR286" s="178"/>
      <c r="AS286" s="178"/>
      <c r="AT286" s="178"/>
      <c r="AU286" s="165"/>
      <c r="AV286" s="178"/>
      <c r="AW286" s="178"/>
      <c r="AX286" s="178"/>
      <c r="AY286" s="178"/>
      <c r="AZ286" s="178"/>
      <c r="BA286" s="183"/>
      <c r="BB286" s="184"/>
    </row>
    <row r="287" spans="29:54" ht="15.75">
      <c r="AC287" s="165"/>
      <c r="AD287" s="165"/>
      <c r="AE287" s="165"/>
      <c r="AF287" s="165"/>
      <c r="AG287" s="165"/>
      <c r="AH287" s="165"/>
      <c r="AI287" s="165"/>
      <c r="AJ287" s="165"/>
      <c r="AK287" s="165"/>
      <c r="AL287" s="165"/>
      <c r="AM287" s="165"/>
      <c r="AN287" s="172"/>
      <c r="AO287" s="172"/>
      <c r="AP287" s="165"/>
      <c r="AQ287" s="165"/>
      <c r="AR287" s="178"/>
      <c r="AS287" s="178"/>
      <c r="AT287" s="178"/>
      <c r="AU287" s="165"/>
      <c r="AV287" s="178"/>
      <c r="AW287" s="178"/>
      <c r="AX287" s="178"/>
      <c r="AY287" s="178"/>
      <c r="AZ287" s="178"/>
      <c r="BA287" s="183"/>
      <c r="BB287" s="184"/>
    </row>
    <row r="288" spans="29:54" ht="15.75">
      <c r="AC288" s="165"/>
      <c r="AD288" s="165"/>
      <c r="AE288" s="165"/>
      <c r="AF288" s="165"/>
      <c r="AG288" s="165"/>
      <c r="AH288" s="165"/>
      <c r="AI288" s="165"/>
      <c r="AJ288" s="165"/>
      <c r="AK288" s="165"/>
      <c r="AL288" s="165"/>
      <c r="AM288" s="165"/>
      <c r="AN288" s="172"/>
      <c r="AO288" s="172"/>
      <c r="AP288" s="165"/>
      <c r="AQ288" s="165"/>
      <c r="AR288" s="178"/>
      <c r="AS288" s="178"/>
      <c r="AT288" s="178"/>
      <c r="AU288" s="165"/>
      <c r="AV288" s="178"/>
      <c r="AW288" s="178"/>
      <c r="AX288" s="178"/>
      <c r="AY288" s="178"/>
      <c r="AZ288" s="178"/>
      <c r="BA288" s="183"/>
      <c r="BB288" s="184"/>
    </row>
    <row r="289" spans="29:54" ht="15.75">
      <c r="AC289" s="165"/>
      <c r="AD289" s="165"/>
      <c r="AE289" s="165"/>
      <c r="AF289" s="165"/>
      <c r="AG289" s="165"/>
      <c r="AH289" s="165"/>
      <c r="AI289" s="165"/>
      <c r="AJ289" s="165"/>
      <c r="AK289" s="165"/>
      <c r="AL289" s="165"/>
      <c r="AM289" s="165"/>
      <c r="AN289" s="172"/>
      <c r="AO289" s="172"/>
      <c r="AP289" s="165"/>
      <c r="AQ289" s="165"/>
      <c r="AR289" s="178"/>
      <c r="AS289" s="178"/>
      <c r="AT289" s="178"/>
      <c r="AU289" s="165"/>
      <c r="AV289" s="178"/>
      <c r="AW289" s="178"/>
      <c r="AX289" s="178"/>
      <c r="AY289" s="178"/>
      <c r="AZ289" s="178"/>
      <c r="BA289" s="183"/>
      <c r="BB289" s="184"/>
    </row>
    <row r="290" spans="29:54" ht="15.75"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72"/>
      <c r="AO290" s="172"/>
      <c r="AP290" s="165"/>
      <c r="AQ290" s="165"/>
      <c r="AR290" s="178"/>
      <c r="AS290" s="178"/>
      <c r="AT290" s="178"/>
      <c r="AU290" s="165"/>
      <c r="AV290" s="178"/>
      <c r="AW290" s="178"/>
      <c r="AX290" s="178"/>
      <c r="AY290" s="178"/>
      <c r="AZ290" s="178"/>
      <c r="BA290" s="183"/>
      <c r="BB290" s="184"/>
    </row>
    <row r="291" spans="29:54" ht="15.75"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  <c r="AN291" s="172"/>
      <c r="AO291" s="172"/>
      <c r="AP291" s="165"/>
      <c r="AQ291" s="165"/>
      <c r="AR291" s="178"/>
      <c r="AS291" s="178"/>
      <c r="AT291" s="178"/>
      <c r="AU291" s="165"/>
      <c r="AV291" s="178"/>
      <c r="AW291" s="178"/>
      <c r="AX291" s="178"/>
      <c r="AY291" s="178"/>
      <c r="AZ291" s="178"/>
      <c r="BA291" s="183"/>
      <c r="BB291" s="184"/>
    </row>
    <row r="292" spans="29:54" ht="15.75">
      <c r="AC292" s="165"/>
      <c r="AD292" s="165"/>
      <c r="AE292" s="165"/>
      <c r="AF292" s="165"/>
      <c r="AG292" s="165"/>
      <c r="AH292" s="165"/>
      <c r="AI292" s="165"/>
      <c r="AJ292" s="165"/>
      <c r="AK292" s="165"/>
      <c r="AL292" s="165"/>
      <c r="AM292" s="165"/>
      <c r="AN292" s="172"/>
      <c r="AO292" s="172"/>
      <c r="AP292" s="165"/>
      <c r="AQ292" s="165"/>
      <c r="AR292" s="178"/>
      <c r="AS292" s="178"/>
      <c r="AT292" s="178"/>
      <c r="AU292" s="165"/>
      <c r="AV292" s="178"/>
      <c r="AW292" s="178"/>
      <c r="AX292" s="178"/>
      <c r="AY292" s="178"/>
      <c r="AZ292" s="178"/>
      <c r="BA292" s="183"/>
      <c r="BB292" s="184"/>
    </row>
    <row r="293" spans="29:54" ht="15.75">
      <c r="AC293" s="165"/>
      <c r="AD293" s="165"/>
      <c r="AE293" s="165"/>
      <c r="AF293" s="165"/>
      <c r="AG293" s="165"/>
      <c r="AH293" s="165"/>
      <c r="AI293" s="165"/>
      <c r="AJ293" s="165"/>
      <c r="AK293" s="165"/>
      <c r="AL293" s="165"/>
      <c r="AM293" s="165"/>
      <c r="AN293" s="172"/>
      <c r="AO293" s="172"/>
      <c r="AP293" s="165"/>
      <c r="AQ293" s="165"/>
      <c r="AR293" s="178"/>
      <c r="AS293" s="178"/>
      <c r="AT293" s="178"/>
      <c r="AU293" s="165"/>
      <c r="AV293" s="178"/>
      <c r="AW293" s="178"/>
      <c r="AX293" s="178"/>
      <c r="AY293" s="178"/>
      <c r="AZ293" s="178"/>
      <c r="BA293" s="183"/>
      <c r="BB293" s="184"/>
    </row>
    <row r="294" spans="29:54" ht="15.75">
      <c r="AC294" s="165"/>
      <c r="AD294" s="165"/>
      <c r="AE294" s="165"/>
      <c r="AF294" s="165"/>
      <c r="AG294" s="165"/>
      <c r="AH294" s="165"/>
      <c r="AI294" s="165"/>
      <c r="AJ294" s="165"/>
      <c r="AK294" s="165"/>
      <c r="AL294" s="165"/>
      <c r="AM294" s="165"/>
      <c r="AN294" s="172"/>
      <c r="AO294" s="172"/>
      <c r="AP294" s="165"/>
      <c r="AQ294" s="165"/>
      <c r="AR294" s="178"/>
      <c r="AS294" s="178"/>
      <c r="AT294" s="178"/>
      <c r="AU294" s="165"/>
      <c r="AV294" s="178"/>
      <c r="AW294" s="178"/>
      <c r="AX294" s="178"/>
      <c r="AY294" s="178"/>
      <c r="AZ294" s="178"/>
      <c r="BA294" s="183"/>
      <c r="BB294" s="184"/>
    </row>
    <row r="295" spans="29:54" ht="15.75">
      <c r="AC295" s="165"/>
      <c r="AD295" s="165"/>
      <c r="AE295" s="165"/>
      <c r="AF295" s="165"/>
      <c r="AG295" s="165"/>
      <c r="AH295" s="165"/>
      <c r="AI295" s="165"/>
      <c r="AJ295" s="165"/>
      <c r="AK295" s="165"/>
      <c r="AL295" s="165"/>
      <c r="AM295" s="165"/>
      <c r="AN295" s="172"/>
      <c r="AO295" s="172"/>
      <c r="AP295" s="165"/>
      <c r="AQ295" s="165"/>
      <c r="AR295" s="178"/>
      <c r="AS295" s="178"/>
      <c r="AT295" s="178"/>
      <c r="AU295" s="165"/>
      <c r="AV295" s="178"/>
      <c r="AW295" s="178"/>
      <c r="AX295" s="178"/>
      <c r="AY295" s="178"/>
      <c r="AZ295" s="178"/>
      <c r="BA295" s="183"/>
      <c r="BB295" s="184"/>
    </row>
    <row r="296" spans="29:54" ht="15.75">
      <c r="AC296" s="165"/>
      <c r="AD296" s="165"/>
      <c r="AE296" s="165"/>
      <c r="AF296" s="165"/>
      <c r="AG296" s="165"/>
      <c r="AH296" s="165"/>
      <c r="AI296" s="165"/>
      <c r="AJ296" s="165"/>
      <c r="AK296" s="165"/>
      <c r="AL296" s="165"/>
      <c r="AM296" s="165"/>
      <c r="AN296" s="172"/>
      <c r="AO296" s="172"/>
      <c r="AP296" s="165"/>
      <c r="AQ296" s="165"/>
      <c r="AR296" s="178"/>
      <c r="AS296" s="178"/>
      <c r="AT296" s="178"/>
      <c r="AU296" s="165"/>
      <c r="AV296" s="178"/>
      <c r="AW296" s="178"/>
      <c r="AX296" s="178"/>
      <c r="AY296" s="178"/>
      <c r="AZ296" s="178"/>
      <c r="BA296" s="183"/>
      <c r="BB296" s="184"/>
    </row>
    <row r="297" spans="29:54" ht="15.75">
      <c r="AC297" s="165"/>
      <c r="AD297" s="165"/>
      <c r="AE297" s="165"/>
      <c r="AF297" s="165"/>
      <c r="AG297" s="165"/>
      <c r="AH297" s="165"/>
      <c r="AI297" s="165"/>
      <c r="AJ297" s="165"/>
      <c r="AK297" s="165"/>
      <c r="AL297" s="165"/>
      <c r="AM297" s="165"/>
      <c r="AN297" s="172"/>
      <c r="AO297" s="172"/>
      <c r="AP297" s="165"/>
      <c r="AQ297" s="165"/>
      <c r="AR297" s="178"/>
      <c r="AS297" s="178"/>
      <c r="AT297" s="178"/>
      <c r="AU297" s="165"/>
      <c r="AV297" s="178"/>
      <c r="AW297" s="178"/>
      <c r="AX297" s="178"/>
      <c r="AY297" s="178"/>
      <c r="AZ297" s="178"/>
      <c r="BA297" s="183"/>
      <c r="BB297" s="184"/>
    </row>
    <row r="298" spans="29:54" ht="15.75">
      <c r="AC298" s="165"/>
      <c r="AD298" s="165"/>
      <c r="AE298" s="165"/>
      <c r="AF298" s="165"/>
      <c r="AG298" s="165"/>
      <c r="AH298" s="165"/>
      <c r="AI298" s="165"/>
      <c r="AJ298" s="165"/>
      <c r="AK298" s="165"/>
      <c r="AL298" s="165"/>
      <c r="AM298" s="165"/>
      <c r="AN298" s="172"/>
      <c r="AO298" s="172"/>
      <c r="AP298" s="165"/>
      <c r="AQ298" s="165"/>
      <c r="AR298" s="178"/>
      <c r="AS298" s="178"/>
      <c r="AT298" s="178"/>
      <c r="AU298" s="165"/>
      <c r="AV298" s="178"/>
      <c r="AW298" s="178"/>
      <c r="AX298" s="178"/>
      <c r="AY298" s="178"/>
      <c r="AZ298" s="178"/>
      <c r="BA298" s="183"/>
      <c r="BB298" s="184"/>
    </row>
    <row r="299" spans="29:54" ht="15.75">
      <c r="AC299" s="165"/>
      <c r="AD299" s="165"/>
      <c r="AE299" s="165"/>
      <c r="AF299" s="165"/>
      <c r="AG299" s="165"/>
      <c r="AH299" s="165"/>
      <c r="AI299" s="165"/>
      <c r="AJ299" s="165"/>
      <c r="AK299" s="165"/>
      <c r="AL299" s="165"/>
      <c r="AM299" s="165"/>
      <c r="AN299" s="172"/>
      <c r="AO299" s="172"/>
      <c r="AP299" s="165"/>
      <c r="AQ299" s="165"/>
      <c r="AR299" s="178"/>
      <c r="AS299" s="178"/>
      <c r="AT299" s="178"/>
      <c r="AU299" s="165"/>
      <c r="AV299" s="178"/>
      <c r="AW299" s="178"/>
      <c r="AX299" s="178"/>
      <c r="AY299" s="178"/>
      <c r="AZ299" s="178"/>
      <c r="BA299" s="183"/>
      <c r="BB299" s="184"/>
    </row>
    <row r="300" spans="29:54" ht="15.75">
      <c r="AC300" s="165"/>
      <c r="AD300" s="165"/>
      <c r="AE300" s="165"/>
      <c r="AF300" s="165"/>
      <c r="AG300" s="165"/>
      <c r="AH300" s="165"/>
      <c r="AI300" s="165"/>
      <c r="AJ300" s="165"/>
      <c r="AK300" s="165"/>
      <c r="AL300" s="165"/>
      <c r="AM300" s="165"/>
      <c r="AN300" s="172"/>
      <c r="AO300" s="172"/>
      <c r="AP300" s="165"/>
      <c r="AQ300" s="165"/>
      <c r="AR300" s="178"/>
      <c r="AS300" s="178"/>
      <c r="AT300" s="178"/>
      <c r="AU300" s="165"/>
      <c r="AV300" s="178"/>
      <c r="AW300" s="178"/>
      <c r="AX300" s="178"/>
      <c r="AY300" s="178"/>
      <c r="AZ300" s="178"/>
      <c r="BA300" s="183"/>
      <c r="BB300" s="184"/>
    </row>
    <row r="301" spans="29:54" ht="15.75"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  <c r="AN301" s="172"/>
      <c r="AO301" s="172"/>
      <c r="AP301" s="165"/>
      <c r="AQ301" s="165"/>
      <c r="AR301" s="178"/>
      <c r="AS301" s="178"/>
      <c r="AT301" s="178"/>
      <c r="AU301" s="165"/>
      <c r="AV301" s="178"/>
      <c r="AW301" s="178"/>
      <c r="AX301" s="178"/>
      <c r="AY301" s="178"/>
      <c r="AZ301" s="178"/>
      <c r="BA301" s="183"/>
      <c r="BB301" s="184"/>
    </row>
    <row r="302" spans="29:54" ht="15.75"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72"/>
      <c r="AO302" s="172"/>
      <c r="AP302" s="165"/>
      <c r="AQ302" s="165"/>
      <c r="AR302" s="178"/>
      <c r="AS302" s="178"/>
      <c r="AT302" s="178"/>
      <c r="AU302" s="165"/>
      <c r="AV302" s="178"/>
      <c r="AW302" s="178"/>
      <c r="AX302" s="178"/>
      <c r="AY302" s="178"/>
      <c r="AZ302" s="178"/>
      <c r="BA302" s="183"/>
      <c r="BB302" s="184"/>
    </row>
    <row r="303" spans="29:54" ht="15.75"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72"/>
      <c r="AO303" s="172"/>
      <c r="AP303" s="165"/>
      <c r="AQ303" s="165"/>
      <c r="AR303" s="178"/>
      <c r="AS303" s="178"/>
      <c r="AT303" s="178"/>
      <c r="AU303" s="165"/>
      <c r="AV303" s="178"/>
      <c r="AW303" s="178"/>
      <c r="AX303" s="178"/>
      <c r="AY303" s="178"/>
      <c r="AZ303" s="178"/>
      <c r="BA303" s="183"/>
      <c r="BB303" s="184"/>
    </row>
    <row r="304" spans="29:54" ht="15.75"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  <c r="AN304" s="172"/>
      <c r="AO304" s="172"/>
      <c r="AP304" s="165"/>
      <c r="AQ304" s="165"/>
      <c r="AR304" s="178"/>
      <c r="AS304" s="178"/>
      <c r="AT304" s="178"/>
      <c r="AU304" s="165"/>
      <c r="AV304" s="178"/>
      <c r="AW304" s="178"/>
      <c r="AX304" s="178"/>
      <c r="AY304" s="178"/>
      <c r="AZ304" s="178"/>
      <c r="BA304" s="183"/>
      <c r="BB304" s="184"/>
    </row>
    <row r="305" spans="29:54" ht="15.75"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  <c r="AN305" s="172"/>
      <c r="AO305" s="172"/>
      <c r="AP305" s="165"/>
      <c r="AQ305" s="165"/>
      <c r="AR305" s="178"/>
      <c r="AS305" s="178"/>
      <c r="AT305" s="178"/>
      <c r="AU305" s="165"/>
      <c r="AV305" s="178"/>
      <c r="AW305" s="178"/>
      <c r="AX305" s="178"/>
      <c r="AY305" s="178"/>
      <c r="AZ305" s="178"/>
      <c r="BA305" s="183"/>
      <c r="BB305" s="184"/>
    </row>
    <row r="306" spans="29:54" ht="15.75"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5"/>
      <c r="AN306" s="172"/>
      <c r="AO306" s="172"/>
      <c r="AP306" s="165"/>
      <c r="AQ306" s="165"/>
      <c r="AR306" s="178"/>
      <c r="AS306" s="178"/>
      <c r="AT306" s="178"/>
      <c r="AU306" s="165"/>
      <c r="AV306" s="178"/>
      <c r="AW306" s="178"/>
      <c r="AX306" s="178"/>
      <c r="AY306" s="178"/>
      <c r="AZ306" s="178"/>
      <c r="BA306" s="183"/>
      <c r="BB306" s="184"/>
    </row>
    <row r="307" spans="29:54" ht="15.75">
      <c r="AC307" s="165"/>
      <c r="AD307" s="165"/>
      <c r="AE307" s="165"/>
      <c r="AF307" s="165"/>
      <c r="AG307" s="165"/>
      <c r="AH307" s="165"/>
      <c r="AI307" s="165"/>
      <c r="AJ307" s="165"/>
      <c r="AK307" s="165"/>
      <c r="AL307" s="165"/>
      <c r="AM307" s="165"/>
      <c r="AN307" s="172"/>
      <c r="AO307" s="172"/>
      <c r="AP307" s="165"/>
      <c r="AQ307" s="165"/>
      <c r="AR307" s="178"/>
      <c r="AS307" s="178"/>
      <c r="AT307" s="178"/>
      <c r="AU307" s="165"/>
      <c r="AV307" s="178"/>
      <c r="AW307" s="178"/>
      <c r="AX307" s="178"/>
      <c r="AY307" s="178"/>
      <c r="AZ307" s="178"/>
      <c r="BA307" s="183"/>
      <c r="BB307" s="184"/>
    </row>
    <row r="308" spans="44:54" ht="15.75">
      <c r="AR308" s="178"/>
      <c r="AS308" s="178"/>
      <c r="AT308" s="178"/>
      <c r="AU308" s="165"/>
      <c r="AV308" s="178"/>
      <c r="AW308" s="178"/>
      <c r="AX308" s="178"/>
      <c r="AY308" s="178"/>
      <c r="AZ308" s="178"/>
      <c r="BA308" s="183"/>
      <c r="BB308" s="184"/>
    </row>
    <row r="309" spans="44:54" ht="15.75">
      <c r="AR309" s="178"/>
      <c r="AS309" s="178"/>
      <c r="AT309" s="178"/>
      <c r="AU309" s="165"/>
      <c r="AV309" s="178"/>
      <c r="AW309" s="178"/>
      <c r="AX309" s="178"/>
      <c r="AY309" s="178"/>
      <c r="AZ309" s="178"/>
      <c r="BA309" s="183"/>
      <c r="BB309" s="184"/>
    </row>
    <row r="310" spans="44:54" ht="15.75">
      <c r="AR310" s="178"/>
      <c r="AS310" s="178"/>
      <c r="AT310" s="178"/>
      <c r="AU310" s="165"/>
      <c r="AV310" s="178"/>
      <c r="AW310" s="178"/>
      <c r="AX310" s="178"/>
      <c r="AY310" s="178"/>
      <c r="AZ310" s="178"/>
      <c r="BA310" s="183"/>
      <c r="BB310" s="184"/>
    </row>
    <row r="311" spans="44:54" ht="15.75">
      <c r="AR311" s="178"/>
      <c r="AS311" s="178"/>
      <c r="AT311" s="178"/>
      <c r="AU311" s="165"/>
      <c r="AV311" s="178"/>
      <c r="AW311" s="178"/>
      <c r="AX311" s="178"/>
      <c r="AY311" s="178"/>
      <c r="AZ311" s="178"/>
      <c r="BA311" s="183"/>
      <c r="BB311" s="184"/>
    </row>
    <row r="312" spans="44:54" ht="15.75">
      <c r="AR312" s="178"/>
      <c r="AS312" s="178"/>
      <c r="AT312" s="178"/>
      <c r="AU312" s="165"/>
      <c r="AV312" s="178"/>
      <c r="AW312" s="178"/>
      <c r="AX312" s="178"/>
      <c r="AY312" s="178"/>
      <c r="AZ312" s="178"/>
      <c r="BA312" s="183"/>
      <c r="BB312" s="184"/>
    </row>
    <row r="313" spans="47:54" ht="15.75">
      <c r="AU313" s="165"/>
      <c r="AV313" s="178"/>
      <c r="AW313" s="178"/>
      <c r="AX313" s="178"/>
      <c r="AY313" s="178"/>
      <c r="AZ313" s="178"/>
      <c r="BA313" s="183"/>
      <c r="BB313" s="184"/>
    </row>
  </sheetData>
  <sheetProtection/>
  <mergeCells count="2">
    <mergeCell ref="A2:BB2"/>
    <mergeCell ref="V3:AB3"/>
  </mergeCells>
  <printOptions horizontalCentered="1" verticalCentered="1"/>
  <pageMargins left="0.19652777777777777" right="0.19652777777777777" top="0.19652777777777777" bottom="0.19652777777777777" header="0" footer="0"/>
  <pageSetup firstPageNumber="11" useFirstPageNumber="1" horizontalDpi="600" verticalDpi="600" orientation="landscape" paperSize="8" scale="5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98"/>
  <sheetViews>
    <sheetView showGridLines="0" workbookViewId="0" topLeftCell="A1">
      <pane xSplit="1" ySplit="5" topLeftCell="B6" activePane="bottomRight" state="frozen"/>
      <selection pane="bottomRight" activeCell="H22" sqref="H22"/>
    </sheetView>
  </sheetViews>
  <sheetFormatPr defaultColWidth="9.00390625" defaultRowHeight="14.25"/>
  <cols>
    <col min="1" max="1" width="36.00390625" style="39" customWidth="1"/>
    <col min="2" max="3" width="13.50390625" style="39" hidden="1" customWidth="1"/>
    <col min="4" max="6" width="13.50390625" style="39" customWidth="1"/>
    <col min="7" max="7" width="19.00390625" style="39" customWidth="1"/>
    <col min="8" max="8" width="18.75390625" style="40" customWidth="1"/>
    <col min="9" max="9" width="10.875" style="39" customWidth="1"/>
    <col min="10" max="10" width="9.00390625" style="39" hidden="1" customWidth="1"/>
    <col min="11" max="11" width="10.00390625" style="39" hidden="1" customWidth="1"/>
    <col min="12" max="12" width="11.00390625" style="39" hidden="1" customWidth="1"/>
    <col min="13" max="13" width="13.125" style="39" hidden="1" customWidth="1"/>
    <col min="14" max="16384" width="9.00390625" style="39" customWidth="1"/>
  </cols>
  <sheetData>
    <row r="1" ht="17.25" customHeight="1">
      <c r="A1" s="41" t="s">
        <v>87</v>
      </c>
    </row>
    <row r="2" spans="1:9" ht="19.5" customHeight="1">
      <c r="A2" s="42" t="s">
        <v>88</v>
      </c>
      <c r="B2" s="42"/>
      <c r="C2" s="42"/>
      <c r="D2" s="42"/>
      <c r="E2" s="42"/>
      <c r="F2" s="42"/>
      <c r="G2" s="42"/>
      <c r="H2" s="42"/>
      <c r="I2" s="42"/>
    </row>
    <row r="3" spans="1:8" ht="6.75" customHeight="1">
      <c r="A3" s="43"/>
      <c r="B3" s="44"/>
      <c r="C3" s="44"/>
      <c r="D3" s="44"/>
      <c r="E3" s="44"/>
      <c r="F3" s="44"/>
      <c r="G3" s="44"/>
      <c r="H3" s="45"/>
    </row>
    <row r="4" spans="1:9" s="35" customFormat="1" ht="15.75" customHeight="1">
      <c r="A4" s="46" t="s">
        <v>89</v>
      </c>
      <c r="B4" s="47"/>
      <c r="C4" s="47"/>
      <c r="D4" s="47"/>
      <c r="E4" s="47"/>
      <c r="F4" s="47"/>
      <c r="G4" s="47"/>
      <c r="H4" s="48"/>
      <c r="I4" s="57" t="s">
        <v>90</v>
      </c>
    </row>
    <row r="5" spans="1:9" s="36" customFormat="1" ht="15.75" customHeight="1">
      <c r="A5" s="16" t="s">
        <v>91</v>
      </c>
      <c r="B5" s="16" t="s">
        <v>92</v>
      </c>
      <c r="C5" s="16" t="s">
        <v>93</v>
      </c>
      <c r="D5" s="16" t="s">
        <v>94</v>
      </c>
      <c r="E5" s="16" t="s">
        <v>95</v>
      </c>
      <c r="F5" s="16" t="s">
        <v>96</v>
      </c>
      <c r="G5" s="49" t="s">
        <v>97</v>
      </c>
      <c r="H5" s="50" t="s">
        <v>98</v>
      </c>
      <c r="I5" s="16" t="s">
        <v>99</v>
      </c>
    </row>
    <row r="6" spans="1:9" s="37" customFormat="1" ht="13.5" customHeight="1">
      <c r="A6" s="51" t="s">
        <v>100</v>
      </c>
      <c r="B6" s="52">
        <v>4799.55</v>
      </c>
      <c r="C6" s="52">
        <v>3981.45</v>
      </c>
      <c r="D6" s="52">
        <v>6093.84</v>
      </c>
      <c r="E6" s="52">
        <v>4345.91</v>
      </c>
      <c r="F6" s="52">
        <f>SUM(F7:F30)</f>
        <v>6134.54</v>
      </c>
      <c r="G6" s="53">
        <f>F6/D6-1</f>
        <v>0.006678875717117672</v>
      </c>
      <c r="H6" s="53">
        <f>F6/E6-1</f>
        <v>0.4115662772583879</v>
      </c>
      <c r="I6" s="58"/>
    </row>
    <row r="7" spans="1:13" s="38" customFormat="1" ht="13.5" customHeight="1">
      <c r="A7" s="54" t="s">
        <v>101</v>
      </c>
      <c r="B7" s="55">
        <v>21.85</v>
      </c>
      <c r="C7" s="55">
        <v>16.93</v>
      </c>
      <c r="D7" s="55">
        <v>64.1</v>
      </c>
      <c r="E7" s="55">
        <v>46.53</v>
      </c>
      <c r="F7" s="55">
        <v>15.85</v>
      </c>
      <c r="G7" s="56">
        <f aca="true" t="shared" si="0" ref="G7:G70">F7/D7-1</f>
        <v>-0.7527301092043681</v>
      </c>
      <c r="H7" s="56">
        <f aca="true" t="shared" si="1" ref="H7:H70">F7/E7-1</f>
        <v>-0.6593595529765743</v>
      </c>
      <c r="I7" s="59"/>
      <c r="M7" s="60">
        <f>243567</f>
        <v>243567</v>
      </c>
    </row>
    <row r="8" spans="1:13" s="38" customFormat="1" ht="13.5" customHeight="1">
      <c r="A8" s="54" t="s">
        <v>102</v>
      </c>
      <c r="B8" s="55">
        <v>2.4</v>
      </c>
      <c r="C8" s="55">
        <v>0.96</v>
      </c>
      <c r="D8" s="55">
        <v>2.16</v>
      </c>
      <c r="E8" s="55">
        <v>1.15</v>
      </c>
      <c r="F8" s="55">
        <v>2.66</v>
      </c>
      <c r="G8" s="56">
        <f t="shared" si="0"/>
        <v>0.2314814814814814</v>
      </c>
      <c r="H8" s="56">
        <f t="shared" si="1"/>
        <v>1.31304347826087</v>
      </c>
      <c r="I8" s="59"/>
      <c r="M8" s="60">
        <v>52973.1</v>
      </c>
    </row>
    <row r="9" spans="1:13" s="38" customFormat="1" ht="13.5" customHeight="1">
      <c r="A9" s="54" t="s">
        <v>103</v>
      </c>
      <c r="B9" s="55">
        <v>3676.2</v>
      </c>
      <c r="C9" s="55">
        <v>2958.8</v>
      </c>
      <c r="D9" s="55">
        <v>4750.69</v>
      </c>
      <c r="E9" s="55">
        <v>3257.36</v>
      </c>
      <c r="F9" s="55">
        <v>4962.73</v>
      </c>
      <c r="G9" s="56">
        <f t="shared" si="0"/>
        <v>0.04463351639446067</v>
      </c>
      <c r="H9" s="56">
        <f t="shared" si="1"/>
        <v>0.5235436058648719</v>
      </c>
      <c r="I9" s="59"/>
      <c r="M9" s="60">
        <v>26373984.48</v>
      </c>
    </row>
    <row r="10" spans="1:13" s="38" customFormat="1" ht="13.5" customHeight="1">
      <c r="A10" s="54" t="s">
        <v>104</v>
      </c>
      <c r="B10" s="55">
        <v>4.1</v>
      </c>
      <c r="C10" s="55">
        <v>11.37</v>
      </c>
      <c r="D10" s="55">
        <v>55.77</v>
      </c>
      <c r="E10" s="55">
        <v>35.53</v>
      </c>
      <c r="F10" s="55">
        <v>68.03</v>
      </c>
      <c r="G10" s="56">
        <f t="shared" si="0"/>
        <v>0.21983145060068132</v>
      </c>
      <c r="H10" s="56">
        <f t="shared" si="1"/>
        <v>0.914719954967633</v>
      </c>
      <c r="I10" s="59"/>
      <c r="M10" s="60">
        <v>62848.94</v>
      </c>
    </row>
    <row r="11" spans="1:13" s="38" customFormat="1" ht="13.5" customHeight="1">
      <c r="A11" s="54" t="s">
        <v>105</v>
      </c>
      <c r="B11" s="55">
        <v>8.16</v>
      </c>
      <c r="C11" s="55">
        <v>15.42</v>
      </c>
      <c r="D11" s="55">
        <v>11</v>
      </c>
      <c r="E11" s="55">
        <v>16.55</v>
      </c>
      <c r="F11" s="55">
        <v>28.9</v>
      </c>
      <c r="G11" s="56">
        <f t="shared" si="0"/>
        <v>1.627272727272727</v>
      </c>
      <c r="H11" s="56">
        <f t="shared" si="1"/>
        <v>0.7462235649546827</v>
      </c>
      <c r="I11" s="59"/>
      <c r="M11" s="60">
        <v>211824</v>
      </c>
    </row>
    <row r="12" spans="1:13" s="38" customFormat="1" ht="13.5" customHeight="1">
      <c r="A12" s="54" t="s">
        <v>106</v>
      </c>
      <c r="B12" s="55">
        <v>173.73</v>
      </c>
      <c r="C12" s="55">
        <v>168.16</v>
      </c>
      <c r="D12" s="55">
        <v>182.15</v>
      </c>
      <c r="E12" s="55">
        <v>110.49</v>
      </c>
      <c r="F12" s="55">
        <v>158.33</v>
      </c>
      <c r="G12" s="56">
        <f t="shared" si="0"/>
        <v>-0.13077134230030196</v>
      </c>
      <c r="H12" s="56">
        <f t="shared" si="1"/>
        <v>0.4329803602135942</v>
      </c>
      <c r="I12" s="59"/>
      <c r="M12" s="60">
        <v>906886.82</v>
      </c>
    </row>
    <row r="13" spans="1:13" s="38" customFormat="1" ht="13.5" customHeight="1">
      <c r="A13" s="54" t="s">
        <v>107</v>
      </c>
      <c r="B13" s="55">
        <v>37</v>
      </c>
      <c r="C13" s="55">
        <v>11.16</v>
      </c>
      <c r="D13" s="55">
        <v>13</v>
      </c>
      <c r="E13" s="55">
        <v>0</v>
      </c>
      <c r="F13" s="55">
        <v>0</v>
      </c>
      <c r="G13" s="55">
        <v>0</v>
      </c>
      <c r="H13" s="55">
        <v>0</v>
      </c>
      <c r="I13" s="59"/>
      <c r="M13" s="60">
        <v>444972</v>
      </c>
    </row>
    <row r="14" spans="1:13" s="38" customFormat="1" ht="13.5" customHeight="1">
      <c r="A14" s="54" t="s">
        <v>108</v>
      </c>
      <c r="B14" s="55">
        <v>17.53</v>
      </c>
      <c r="C14" s="55">
        <v>9.34</v>
      </c>
      <c r="D14" s="55">
        <v>18</v>
      </c>
      <c r="E14" s="55">
        <v>14.15</v>
      </c>
      <c r="F14" s="55">
        <v>16</v>
      </c>
      <c r="G14" s="56">
        <f t="shared" si="0"/>
        <v>-0.11111111111111116</v>
      </c>
      <c r="H14" s="56">
        <f t="shared" si="1"/>
        <v>0.1307420494699647</v>
      </c>
      <c r="I14" s="59"/>
      <c r="M14" s="60">
        <v>165572.6</v>
      </c>
    </row>
    <row r="15" spans="1:13" s="38" customFormat="1" ht="13.5" customHeight="1">
      <c r="A15" s="54" t="s">
        <v>109</v>
      </c>
      <c r="B15" s="55">
        <v>52.31</v>
      </c>
      <c r="C15" s="55">
        <v>54.27</v>
      </c>
      <c r="D15" s="55">
        <v>52.31</v>
      </c>
      <c r="E15" s="55">
        <v>3.71</v>
      </c>
      <c r="F15" s="55">
        <v>3.71</v>
      </c>
      <c r="G15" s="56">
        <f t="shared" si="0"/>
        <v>-0.9290766583827184</v>
      </c>
      <c r="H15" s="55">
        <v>0</v>
      </c>
      <c r="I15" s="59"/>
      <c r="M15" s="60">
        <v>707300.63</v>
      </c>
    </row>
    <row r="16" spans="1:13" s="38" customFormat="1" ht="13.5" customHeight="1">
      <c r="A16" s="54" t="s">
        <v>110</v>
      </c>
      <c r="B16" s="55">
        <v>83.5</v>
      </c>
      <c r="C16" s="55">
        <v>49.04</v>
      </c>
      <c r="D16" s="55">
        <v>52.05</v>
      </c>
      <c r="E16" s="55">
        <v>27.59</v>
      </c>
      <c r="F16" s="55">
        <v>41.5</v>
      </c>
      <c r="G16" s="56">
        <f t="shared" si="0"/>
        <v>-0.20268972142170982</v>
      </c>
      <c r="H16" s="56">
        <f t="shared" si="1"/>
        <v>0.5041681768756796</v>
      </c>
      <c r="I16" s="59"/>
      <c r="M16" s="60">
        <v>450131.71</v>
      </c>
    </row>
    <row r="17" spans="1:13" s="38" customFormat="1" ht="13.5" customHeight="1">
      <c r="A17" s="54" t="s">
        <v>111</v>
      </c>
      <c r="B17" s="55">
        <v>15</v>
      </c>
      <c r="C17" s="55">
        <v>14.81</v>
      </c>
      <c r="D17" s="55">
        <v>32.16</v>
      </c>
      <c r="E17" s="55">
        <v>24.6</v>
      </c>
      <c r="F17" s="55">
        <v>15.59</v>
      </c>
      <c r="G17" s="56">
        <f t="shared" si="0"/>
        <v>-0.5152363184079601</v>
      </c>
      <c r="H17" s="56">
        <f t="shared" si="1"/>
        <v>-0.3662601626016261</v>
      </c>
      <c r="I17" s="59"/>
      <c r="M17" s="60">
        <v>143830.18</v>
      </c>
    </row>
    <row r="18" spans="1:13" s="38" customFormat="1" ht="13.5" customHeight="1">
      <c r="A18" s="54" t="s">
        <v>112</v>
      </c>
      <c r="B18" s="55">
        <v>101</v>
      </c>
      <c r="C18" s="55">
        <v>43.48</v>
      </c>
      <c r="D18" s="55">
        <v>85.88</v>
      </c>
      <c r="E18" s="55">
        <v>149.62</v>
      </c>
      <c r="F18" s="55">
        <v>88.46</v>
      </c>
      <c r="G18" s="56">
        <f t="shared" si="0"/>
        <v>0.030041918956683622</v>
      </c>
      <c r="H18" s="56">
        <f t="shared" si="1"/>
        <v>-0.4087688811656196</v>
      </c>
      <c r="I18" s="59"/>
      <c r="M18" s="60">
        <v>495427.72</v>
      </c>
    </row>
    <row r="19" spans="1:13" s="38" customFormat="1" ht="13.5" customHeight="1">
      <c r="A19" s="54" t="s">
        <v>113</v>
      </c>
      <c r="B19" s="55">
        <v>14.13</v>
      </c>
      <c r="C19" s="55">
        <v>22.53</v>
      </c>
      <c r="D19" s="55">
        <v>64.95</v>
      </c>
      <c r="E19" s="55">
        <v>126.38</v>
      </c>
      <c r="F19" s="55">
        <v>156.35</v>
      </c>
      <c r="G19" s="56">
        <f t="shared" si="0"/>
        <v>1.4072363356428021</v>
      </c>
      <c r="H19" s="56">
        <f t="shared" si="1"/>
        <v>0.23714195284063933</v>
      </c>
      <c r="I19" s="59"/>
      <c r="M19" s="60">
        <v>141300</v>
      </c>
    </row>
    <row r="20" spans="1:13" s="38" customFormat="1" ht="13.5" customHeight="1">
      <c r="A20" s="54" t="s">
        <v>114</v>
      </c>
      <c r="B20" s="55"/>
      <c r="C20" s="55"/>
      <c r="D20" s="55">
        <v>0</v>
      </c>
      <c r="E20" s="55">
        <v>0</v>
      </c>
      <c r="F20" s="55">
        <v>0.61</v>
      </c>
      <c r="G20" s="55">
        <v>0</v>
      </c>
      <c r="H20" s="55">
        <v>0</v>
      </c>
      <c r="I20" s="59"/>
      <c r="M20" s="60"/>
    </row>
    <row r="21" spans="1:13" s="38" customFormat="1" ht="13.5" customHeight="1">
      <c r="A21" s="54" t="s">
        <v>115</v>
      </c>
      <c r="B21" s="55">
        <v>8</v>
      </c>
      <c r="C21" s="55">
        <v>17.87</v>
      </c>
      <c r="D21" s="55">
        <v>8</v>
      </c>
      <c r="E21" s="55">
        <v>11.96</v>
      </c>
      <c r="F21" s="55">
        <v>17</v>
      </c>
      <c r="G21" s="56">
        <f t="shared" si="0"/>
        <v>1.125</v>
      </c>
      <c r="H21" s="56">
        <f t="shared" si="1"/>
        <v>0.42140468227424743</v>
      </c>
      <c r="I21" s="59"/>
      <c r="M21" s="60">
        <v>314633.8</v>
      </c>
    </row>
    <row r="22" spans="1:13" s="38" customFormat="1" ht="13.5" customHeight="1">
      <c r="A22" s="54" t="s">
        <v>116</v>
      </c>
      <c r="B22" s="55">
        <v>19.78</v>
      </c>
      <c r="C22" s="55">
        <v>17.78</v>
      </c>
      <c r="D22" s="55">
        <v>13.7</v>
      </c>
      <c r="E22" s="55">
        <v>13.42</v>
      </c>
      <c r="F22" s="55">
        <v>5.1</v>
      </c>
      <c r="G22" s="56">
        <f t="shared" si="0"/>
        <v>-0.6277372262773723</v>
      </c>
      <c r="H22" s="56">
        <f t="shared" si="1"/>
        <v>-0.6199701937406856</v>
      </c>
      <c r="I22" s="59"/>
      <c r="M22" s="60">
        <v>155502.2</v>
      </c>
    </row>
    <row r="23" spans="1:13" s="38" customFormat="1" ht="13.5" customHeight="1">
      <c r="A23" s="54" t="s">
        <v>117</v>
      </c>
      <c r="B23" s="55">
        <v>70.33</v>
      </c>
      <c r="C23" s="55">
        <v>62.34</v>
      </c>
      <c r="D23" s="55">
        <v>161.21</v>
      </c>
      <c r="E23" s="55">
        <v>63.91</v>
      </c>
      <c r="F23" s="55">
        <v>42.34</v>
      </c>
      <c r="G23" s="56">
        <f t="shared" si="0"/>
        <v>-0.7373612058805286</v>
      </c>
      <c r="H23" s="56">
        <f t="shared" si="1"/>
        <v>-0.3375058676263495</v>
      </c>
      <c r="I23" s="59"/>
      <c r="M23" s="60">
        <v>604265</v>
      </c>
    </row>
    <row r="24" spans="1:13" s="38" customFormat="1" ht="13.5" customHeight="1">
      <c r="A24" s="54" t="s">
        <v>118</v>
      </c>
      <c r="B24" s="55">
        <v>45.1</v>
      </c>
      <c r="C24" s="55">
        <v>70.63</v>
      </c>
      <c r="D24" s="55">
        <v>51.3</v>
      </c>
      <c r="E24" s="55">
        <v>76.22</v>
      </c>
      <c r="F24" s="55">
        <v>112.54</v>
      </c>
      <c r="G24" s="56">
        <f t="shared" si="0"/>
        <v>1.1937621832358678</v>
      </c>
      <c r="H24" s="56">
        <f t="shared" si="1"/>
        <v>0.47651535030175807</v>
      </c>
      <c r="I24" s="59"/>
      <c r="M24" s="60">
        <v>917764.01</v>
      </c>
    </row>
    <row r="25" spans="1:13" s="38" customFormat="1" ht="13.5" customHeight="1">
      <c r="A25" s="54" t="s">
        <v>119</v>
      </c>
      <c r="B25" s="55">
        <v>410.16</v>
      </c>
      <c r="C25" s="55">
        <v>389.34</v>
      </c>
      <c r="D25" s="55">
        <v>360.97</v>
      </c>
      <c r="E25" s="55">
        <v>291.42</v>
      </c>
      <c r="F25" s="55">
        <v>329.15</v>
      </c>
      <c r="G25" s="56">
        <f t="shared" si="0"/>
        <v>-0.0881513699199381</v>
      </c>
      <c r="H25" s="56">
        <f t="shared" si="1"/>
        <v>0.12946949420080966</v>
      </c>
      <c r="I25" s="59"/>
      <c r="M25" s="60">
        <v>3527555.17</v>
      </c>
    </row>
    <row r="26" spans="1:13" s="38" customFormat="1" ht="13.5" customHeight="1">
      <c r="A26" s="54" t="s">
        <v>120</v>
      </c>
      <c r="B26" s="55">
        <v>30.43</v>
      </c>
      <c r="C26" s="55">
        <v>42.89</v>
      </c>
      <c r="D26" s="55">
        <v>24.17</v>
      </c>
      <c r="E26" s="55">
        <v>21.63</v>
      </c>
      <c r="F26" s="55">
        <v>28.47</v>
      </c>
      <c r="G26" s="56">
        <f t="shared" si="0"/>
        <v>0.17790649565577143</v>
      </c>
      <c r="H26" s="56">
        <f t="shared" si="1"/>
        <v>0.3162274618585299</v>
      </c>
      <c r="I26" s="59"/>
      <c r="M26" s="60">
        <v>745634.96</v>
      </c>
    </row>
    <row r="27" spans="1:13" s="38" customFormat="1" ht="13.5" customHeight="1">
      <c r="A27" s="54" t="s">
        <v>121</v>
      </c>
      <c r="B27" s="55"/>
      <c r="C27" s="55"/>
      <c r="D27" s="55">
        <v>0</v>
      </c>
      <c r="E27" s="55">
        <v>5</v>
      </c>
      <c r="F27" s="55">
        <v>0</v>
      </c>
      <c r="G27" s="55">
        <v>0</v>
      </c>
      <c r="H27" s="55">
        <v>0</v>
      </c>
      <c r="I27" s="59"/>
      <c r="M27" s="60"/>
    </row>
    <row r="28" spans="1:13" s="38" customFormat="1" ht="13.5" customHeight="1">
      <c r="A28" s="54" t="s">
        <v>122</v>
      </c>
      <c r="B28" s="55">
        <v>2.5</v>
      </c>
      <c r="C28" s="55">
        <v>0.72</v>
      </c>
      <c r="D28" s="55">
        <v>2.5</v>
      </c>
      <c r="E28" s="55">
        <v>0.5</v>
      </c>
      <c r="F28" s="55">
        <v>0.5</v>
      </c>
      <c r="G28" s="56">
        <f t="shared" si="0"/>
        <v>-0.8</v>
      </c>
      <c r="H28" s="55">
        <v>0</v>
      </c>
      <c r="I28" s="59"/>
      <c r="M28" s="60">
        <v>0</v>
      </c>
    </row>
    <row r="29" spans="1:13" s="38" customFormat="1" ht="13.5" customHeight="1">
      <c r="A29" s="54" t="s">
        <v>123</v>
      </c>
      <c r="B29" s="55">
        <v>6.34</v>
      </c>
      <c r="C29" s="55">
        <v>0</v>
      </c>
      <c r="D29" s="55">
        <v>7.14</v>
      </c>
      <c r="E29" s="55">
        <v>0</v>
      </c>
      <c r="F29" s="55">
        <v>0.2</v>
      </c>
      <c r="G29" s="56">
        <f t="shared" si="0"/>
        <v>-0.9719887955182073</v>
      </c>
      <c r="H29" s="55">
        <v>0</v>
      </c>
      <c r="I29" s="59"/>
      <c r="M29" s="60">
        <v>14227</v>
      </c>
    </row>
    <row r="30" spans="1:13" s="38" customFormat="1" ht="13.5" customHeight="1">
      <c r="A30" s="54" t="s">
        <v>124</v>
      </c>
      <c r="B30" s="55">
        <v>0</v>
      </c>
      <c r="C30" s="55">
        <v>3.58</v>
      </c>
      <c r="D30" s="55">
        <v>80.63</v>
      </c>
      <c r="E30" s="55">
        <v>48.19</v>
      </c>
      <c r="F30" s="55">
        <v>40.52</v>
      </c>
      <c r="G30" s="56">
        <f t="shared" si="0"/>
        <v>-0.4974575220141386</v>
      </c>
      <c r="H30" s="56">
        <f t="shared" si="1"/>
        <v>-0.1591616517949781</v>
      </c>
      <c r="I30" s="59"/>
      <c r="M30" s="60">
        <v>305498</v>
      </c>
    </row>
    <row r="31" spans="1:12" s="37" customFormat="1" ht="13.5" customHeight="1">
      <c r="A31" s="51" t="s">
        <v>125</v>
      </c>
      <c r="B31" s="52">
        <v>3336.4</v>
      </c>
      <c r="C31" s="52">
        <v>3062.31</v>
      </c>
      <c r="D31" s="52">
        <v>3281.68</v>
      </c>
      <c r="E31" s="52">
        <v>3419.39</v>
      </c>
      <c r="F31" s="52">
        <f>SUM(F32:F38)</f>
        <v>3758.4700000000003</v>
      </c>
      <c r="G31" s="53">
        <f t="shared" si="0"/>
        <v>0.14528838887399154</v>
      </c>
      <c r="H31" s="53">
        <f t="shared" si="1"/>
        <v>0.09916388595626713</v>
      </c>
      <c r="I31" s="58"/>
      <c r="K31" s="37">
        <v>2885.5</v>
      </c>
      <c r="L31" s="37">
        <v>2667.15</v>
      </c>
    </row>
    <row r="32" spans="1:13" s="38" customFormat="1" ht="13.5" customHeight="1">
      <c r="A32" s="54" t="s">
        <v>126</v>
      </c>
      <c r="B32" s="55">
        <v>452.27</v>
      </c>
      <c r="C32" s="55">
        <v>472.4</v>
      </c>
      <c r="D32" s="55">
        <v>430.3</v>
      </c>
      <c r="E32" s="55">
        <v>431.81</v>
      </c>
      <c r="F32" s="55">
        <v>444.22</v>
      </c>
      <c r="G32" s="56">
        <f t="shared" si="0"/>
        <v>0.03234952358819432</v>
      </c>
      <c r="H32" s="56">
        <f t="shared" si="1"/>
        <v>0.02873949190616254</v>
      </c>
      <c r="I32" s="59"/>
      <c r="M32" s="60">
        <v>4051888.61</v>
      </c>
    </row>
    <row r="33" spans="1:13" s="38" customFormat="1" ht="13.5" customHeight="1">
      <c r="A33" s="54" t="s">
        <v>127</v>
      </c>
      <c r="B33" s="55">
        <v>2619.3</v>
      </c>
      <c r="C33" s="55">
        <v>2405.42</v>
      </c>
      <c r="D33" s="55">
        <v>2629.58</v>
      </c>
      <c r="E33" s="55">
        <v>2811.83</v>
      </c>
      <c r="F33" s="55">
        <v>3101.54</v>
      </c>
      <c r="G33" s="56">
        <f t="shared" si="0"/>
        <v>0.1794811338692872</v>
      </c>
      <c r="H33" s="56">
        <f t="shared" si="1"/>
        <v>0.10303254464174572</v>
      </c>
      <c r="I33" s="59"/>
      <c r="M33" s="60">
        <v>22279073.61</v>
      </c>
    </row>
    <row r="34" spans="1:13" s="38" customFormat="1" ht="13.5" customHeight="1">
      <c r="A34" s="54" t="s">
        <v>128</v>
      </c>
      <c r="B34" s="55">
        <v>0</v>
      </c>
      <c r="C34" s="55">
        <v>0</v>
      </c>
      <c r="D34" s="55">
        <v>0</v>
      </c>
      <c r="E34" s="55">
        <v>0</v>
      </c>
      <c r="F34" s="55">
        <v>21.65</v>
      </c>
      <c r="G34" s="55">
        <v>0</v>
      </c>
      <c r="H34" s="55">
        <v>0</v>
      </c>
      <c r="I34" s="59"/>
      <c r="M34" s="60">
        <v>0</v>
      </c>
    </row>
    <row r="35" spans="1:13" s="38" customFormat="1" ht="13.5" customHeight="1">
      <c r="A35" s="54" t="s">
        <v>129</v>
      </c>
      <c r="B35" s="55">
        <v>59</v>
      </c>
      <c r="C35" s="55">
        <v>39.22</v>
      </c>
      <c r="D35" s="55">
        <v>56.94</v>
      </c>
      <c r="E35" s="55">
        <v>37.92</v>
      </c>
      <c r="F35" s="55">
        <v>51.54</v>
      </c>
      <c r="G35" s="56">
        <f t="shared" si="0"/>
        <v>-0.09483667017913588</v>
      </c>
      <c r="H35" s="56">
        <f t="shared" si="1"/>
        <v>0.35917721518987333</v>
      </c>
      <c r="I35" s="59"/>
      <c r="M35" s="60">
        <v>581180</v>
      </c>
    </row>
    <row r="36" spans="1:13" s="38" customFormat="1" ht="13.5" customHeight="1">
      <c r="A36" s="54" t="s">
        <v>130</v>
      </c>
      <c r="B36" s="55">
        <v>1</v>
      </c>
      <c r="C36" s="55">
        <v>12.95</v>
      </c>
      <c r="D36" s="55">
        <v>24</v>
      </c>
      <c r="E36" s="55">
        <v>12.48</v>
      </c>
      <c r="F36" s="55">
        <v>16.16</v>
      </c>
      <c r="G36" s="56">
        <f t="shared" si="0"/>
        <v>-0.32666666666666666</v>
      </c>
      <c r="H36" s="56">
        <f t="shared" si="1"/>
        <v>0.29487179487179493</v>
      </c>
      <c r="I36" s="59"/>
      <c r="M36" s="60">
        <v>7480</v>
      </c>
    </row>
    <row r="37" spans="1:13" s="38" customFormat="1" ht="13.5" customHeight="1">
      <c r="A37" s="54" t="s">
        <v>131</v>
      </c>
      <c r="B37" s="55">
        <v>6.4</v>
      </c>
      <c r="C37" s="55">
        <v>11.2</v>
      </c>
      <c r="D37" s="55">
        <v>4</v>
      </c>
      <c r="E37" s="55">
        <v>2.77</v>
      </c>
      <c r="F37" s="55">
        <v>4</v>
      </c>
      <c r="G37" s="56">
        <f t="shared" si="0"/>
        <v>0</v>
      </c>
      <c r="H37" s="56">
        <f t="shared" si="1"/>
        <v>0.4440433212996391</v>
      </c>
      <c r="I37" s="59"/>
      <c r="M37" s="60">
        <v>59514</v>
      </c>
    </row>
    <row r="38" spans="1:13" s="38" customFormat="1" ht="13.5" customHeight="1">
      <c r="A38" s="54" t="s">
        <v>132</v>
      </c>
      <c r="B38" s="55">
        <v>198.44</v>
      </c>
      <c r="C38" s="55">
        <v>121.12</v>
      </c>
      <c r="D38" s="55">
        <v>136.86</v>
      </c>
      <c r="E38" s="55">
        <v>122.58</v>
      </c>
      <c r="F38" s="55">
        <v>119.36</v>
      </c>
      <c r="G38" s="56">
        <f t="shared" si="0"/>
        <v>-0.12786789419845102</v>
      </c>
      <c r="H38" s="56">
        <f t="shared" si="1"/>
        <v>-0.02626855930820693</v>
      </c>
      <c r="I38" s="59"/>
      <c r="M38" s="60">
        <v>1237302.32</v>
      </c>
    </row>
    <row r="39" spans="1:12" s="37" customFormat="1" ht="13.5" customHeight="1">
      <c r="A39" s="51" t="s">
        <v>133</v>
      </c>
      <c r="B39" s="52">
        <v>4224.03</v>
      </c>
      <c r="C39" s="52">
        <v>4311.19</v>
      </c>
      <c r="D39" s="52">
        <v>4719.52</v>
      </c>
      <c r="E39" s="52">
        <v>4554.7</v>
      </c>
      <c r="F39" s="52">
        <f>SUM(F40:F47)</f>
        <v>4933.570000000001</v>
      </c>
      <c r="G39" s="53">
        <f t="shared" si="0"/>
        <v>0.045354188561548714</v>
      </c>
      <c r="H39" s="53">
        <f t="shared" si="1"/>
        <v>0.08318220739016868</v>
      </c>
      <c r="I39" s="58"/>
      <c r="K39" s="61">
        <v>3762.53</v>
      </c>
      <c r="L39" s="61">
        <v>3647.93</v>
      </c>
    </row>
    <row r="40" spans="1:13" s="38" customFormat="1" ht="13.5" customHeight="1">
      <c r="A40" s="54" t="s">
        <v>134</v>
      </c>
      <c r="B40" s="55">
        <v>321.92</v>
      </c>
      <c r="C40" s="55">
        <v>212.74</v>
      </c>
      <c r="D40" s="55">
        <v>216.86</v>
      </c>
      <c r="E40" s="55">
        <v>335</v>
      </c>
      <c r="F40" s="55">
        <v>330.1</v>
      </c>
      <c r="G40" s="56">
        <f t="shared" si="0"/>
        <v>0.5221802084294014</v>
      </c>
      <c r="H40" s="56">
        <f t="shared" si="1"/>
        <v>-0.014626865671641731</v>
      </c>
      <c r="I40" s="59"/>
      <c r="M40" s="60">
        <v>3610007.17</v>
      </c>
    </row>
    <row r="41" spans="1:13" s="38" customFormat="1" ht="13.5" customHeight="1">
      <c r="A41" s="54" t="s">
        <v>135</v>
      </c>
      <c r="B41" s="55">
        <v>3453.48</v>
      </c>
      <c r="C41" s="55">
        <v>3821.32</v>
      </c>
      <c r="D41" s="55">
        <v>4149.76</v>
      </c>
      <c r="E41" s="55">
        <v>3994.87</v>
      </c>
      <c r="F41" s="55">
        <v>4461.31</v>
      </c>
      <c r="G41" s="56">
        <f t="shared" si="0"/>
        <v>0.0750766309376929</v>
      </c>
      <c r="H41" s="56">
        <f t="shared" si="1"/>
        <v>0.11675974437215753</v>
      </c>
      <c r="I41" s="59"/>
      <c r="M41" s="60">
        <v>31497504.43</v>
      </c>
    </row>
    <row r="42" spans="1:13" s="38" customFormat="1" ht="13.5" customHeight="1">
      <c r="A42" s="54" t="s">
        <v>136</v>
      </c>
      <c r="B42" s="55">
        <v>256.5</v>
      </c>
      <c r="C42" s="55">
        <v>223.47</v>
      </c>
      <c r="D42" s="55">
        <v>247</v>
      </c>
      <c r="E42" s="55">
        <v>99.68</v>
      </c>
      <c r="F42" s="55">
        <v>100</v>
      </c>
      <c r="G42" s="56">
        <f t="shared" si="0"/>
        <v>-0.5951417004048583</v>
      </c>
      <c r="H42" s="56">
        <f t="shared" si="1"/>
        <v>0.0032102728731941976</v>
      </c>
      <c r="I42" s="59"/>
      <c r="M42" s="60">
        <v>4286</v>
      </c>
    </row>
    <row r="43" spans="1:13" s="38" customFormat="1" ht="13.5" customHeight="1">
      <c r="A43" s="54" t="s">
        <v>137</v>
      </c>
      <c r="B43" s="55">
        <v>0.5</v>
      </c>
      <c r="C43" s="55">
        <v>0.19</v>
      </c>
      <c r="D43" s="55">
        <v>0</v>
      </c>
      <c r="E43" s="55">
        <v>1</v>
      </c>
      <c r="F43" s="55">
        <v>0</v>
      </c>
      <c r="G43" s="55">
        <v>0</v>
      </c>
      <c r="H43" s="56">
        <f t="shared" si="1"/>
        <v>-1</v>
      </c>
      <c r="I43" s="59"/>
      <c r="M43" s="60">
        <v>2385705</v>
      </c>
    </row>
    <row r="44" spans="1:13" s="38" customFormat="1" ht="13.5" customHeight="1">
      <c r="A44" s="54" t="s">
        <v>138</v>
      </c>
      <c r="B44" s="55">
        <v>0</v>
      </c>
      <c r="C44" s="55">
        <v>1.44</v>
      </c>
      <c r="D44" s="55">
        <v>6</v>
      </c>
      <c r="E44" s="55">
        <v>7.98</v>
      </c>
      <c r="F44" s="55">
        <v>1.5</v>
      </c>
      <c r="G44" s="56">
        <f t="shared" si="0"/>
        <v>-0.75</v>
      </c>
      <c r="H44" s="56">
        <f t="shared" si="1"/>
        <v>-0.8120300751879699</v>
      </c>
      <c r="I44" s="59"/>
      <c r="M44" s="60"/>
    </row>
    <row r="45" spans="1:13" s="38" customFormat="1" ht="13.5" customHeight="1">
      <c r="A45" s="54" t="s">
        <v>139</v>
      </c>
      <c r="B45" s="55">
        <v>55</v>
      </c>
      <c r="C45" s="55">
        <v>2.28</v>
      </c>
      <c r="D45" s="55">
        <v>15</v>
      </c>
      <c r="E45" s="55">
        <v>7.77</v>
      </c>
      <c r="F45" s="55">
        <v>1</v>
      </c>
      <c r="G45" s="56">
        <f t="shared" si="0"/>
        <v>-0.9333333333333333</v>
      </c>
      <c r="H45" s="56">
        <f t="shared" si="1"/>
        <v>-0.8712998712998713</v>
      </c>
      <c r="I45" s="59"/>
      <c r="M45" s="60"/>
    </row>
    <row r="46" spans="1:13" s="38" customFormat="1" ht="13.5" customHeight="1">
      <c r="A46" s="54" t="s">
        <v>140</v>
      </c>
      <c r="B46" s="55">
        <v>135.13</v>
      </c>
      <c r="C46" s="55">
        <v>46.23</v>
      </c>
      <c r="D46" s="55">
        <v>0</v>
      </c>
      <c r="E46" s="55">
        <v>24.61</v>
      </c>
      <c r="F46" s="55">
        <v>26.65</v>
      </c>
      <c r="G46" s="55">
        <v>0</v>
      </c>
      <c r="H46" s="56">
        <f t="shared" si="1"/>
        <v>0.08289313287281597</v>
      </c>
      <c r="I46" s="59"/>
      <c r="M46" s="60">
        <v>0</v>
      </c>
    </row>
    <row r="47" spans="1:13" s="38" customFormat="1" ht="13.5" customHeight="1">
      <c r="A47" s="54" t="s">
        <v>141</v>
      </c>
      <c r="B47" s="55">
        <v>1.5</v>
      </c>
      <c r="C47" s="55">
        <v>3.52</v>
      </c>
      <c r="D47" s="55">
        <v>84.9</v>
      </c>
      <c r="E47" s="55">
        <v>83.79</v>
      </c>
      <c r="F47" s="55">
        <v>13.01</v>
      </c>
      <c r="G47" s="56">
        <f t="shared" si="0"/>
        <v>-0.8467608951707892</v>
      </c>
      <c r="H47" s="56">
        <f t="shared" si="1"/>
        <v>-0.8447308748060628</v>
      </c>
      <c r="I47" s="59"/>
      <c r="M47" s="60">
        <v>1760759.7</v>
      </c>
    </row>
    <row r="48" spans="1:12" s="37" customFormat="1" ht="13.5" customHeight="1">
      <c r="A48" s="51" t="s">
        <v>142</v>
      </c>
      <c r="B48" s="52">
        <v>22.5</v>
      </c>
      <c r="C48" s="52">
        <v>569.68</v>
      </c>
      <c r="D48" s="52">
        <v>104.53</v>
      </c>
      <c r="E48" s="52">
        <v>742.64</v>
      </c>
      <c r="F48" s="52">
        <f>SUM(F49:F53)</f>
        <v>606.6500000000001</v>
      </c>
      <c r="G48" s="53">
        <f t="shared" si="0"/>
        <v>4.803597053477471</v>
      </c>
      <c r="H48" s="53">
        <f t="shared" si="1"/>
        <v>-0.18311698804265852</v>
      </c>
      <c r="I48" s="58"/>
      <c r="K48" s="37">
        <v>5</v>
      </c>
      <c r="L48" s="37">
        <v>5</v>
      </c>
    </row>
    <row r="49" spans="1:9" s="37" customFormat="1" ht="13.5" customHeight="1">
      <c r="A49" s="54" t="s">
        <v>143</v>
      </c>
      <c r="B49" s="55">
        <v>0</v>
      </c>
      <c r="C49" s="52">
        <v>0</v>
      </c>
      <c r="D49" s="55">
        <v>0.2</v>
      </c>
      <c r="E49" s="55">
        <v>2.2</v>
      </c>
      <c r="F49" s="55">
        <v>4.05</v>
      </c>
      <c r="G49" s="56">
        <f t="shared" si="0"/>
        <v>19.249999999999996</v>
      </c>
      <c r="H49" s="56">
        <f t="shared" si="1"/>
        <v>0.8409090909090906</v>
      </c>
      <c r="I49" s="59"/>
    </row>
    <row r="50" spans="1:13" s="38" customFormat="1" ht="13.5" customHeight="1">
      <c r="A50" s="54" t="s">
        <v>144</v>
      </c>
      <c r="B50" s="55">
        <v>5</v>
      </c>
      <c r="C50" s="55">
        <v>553.49</v>
      </c>
      <c r="D50" s="55">
        <v>94.33</v>
      </c>
      <c r="E50" s="55">
        <v>226.7</v>
      </c>
      <c r="F50" s="55">
        <v>126.94</v>
      </c>
      <c r="G50" s="56">
        <f t="shared" si="0"/>
        <v>0.34570126152867586</v>
      </c>
      <c r="H50" s="56">
        <f t="shared" si="1"/>
        <v>-0.44005293339214824</v>
      </c>
      <c r="I50" s="59"/>
      <c r="M50" s="60">
        <v>685598.8</v>
      </c>
    </row>
    <row r="51" spans="1:13" s="38" customFormat="1" ht="13.5" customHeight="1">
      <c r="A51" s="54" t="s">
        <v>145</v>
      </c>
      <c r="B51" s="55">
        <v>0</v>
      </c>
      <c r="C51" s="52">
        <v>0</v>
      </c>
      <c r="D51" s="55">
        <v>2</v>
      </c>
      <c r="E51" s="55">
        <v>1.5</v>
      </c>
      <c r="F51" s="55">
        <v>0</v>
      </c>
      <c r="G51" s="55">
        <v>0</v>
      </c>
      <c r="H51" s="55">
        <v>0</v>
      </c>
      <c r="I51" s="59"/>
      <c r="M51" s="60">
        <v>0</v>
      </c>
    </row>
    <row r="52" spans="1:13" s="38" customFormat="1" ht="13.5" customHeight="1">
      <c r="A52" s="54" t="s">
        <v>146</v>
      </c>
      <c r="B52" s="55"/>
      <c r="C52" s="52"/>
      <c r="D52" s="55">
        <v>0</v>
      </c>
      <c r="E52" s="55">
        <v>5.61</v>
      </c>
      <c r="F52" s="55">
        <v>0</v>
      </c>
      <c r="G52" s="55">
        <v>0</v>
      </c>
      <c r="H52" s="55">
        <v>0</v>
      </c>
      <c r="I52" s="59"/>
      <c r="M52" s="60"/>
    </row>
    <row r="53" spans="1:13" s="38" customFormat="1" ht="13.5" customHeight="1">
      <c r="A53" s="54" t="s">
        <v>147</v>
      </c>
      <c r="B53" s="55">
        <v>17.5</v>
      </c>
      <c r="C53" s="55">
        <v>16.19</v>
      </c>
      <c r="D53" s="55">
        <v>8</v>
      </c>
      <c r="E53" s="55">
        <v>506.63</v>
      </c>
      <c r="F53" s="55">
        <v>475.66</v>
      </c>
      <c r="G53" s="56">
        <f t="shared" si="0"/>
        <v>58.4575</v>
      </c>
      <c r="H53" s="56">
        <f t="shared" si="1"/>
        <v>-0.06112942383988307</v>
      </c>
      <c r="I53" s="59"/>
      <c r="M53" s="60">
        <v>171597</v>
      </c>
    </row>
    <row r="54" spans="1:9" s="37" customFormat="1" ht="13.5" customHeight="1">
      <c r="A54" s="51" t="s">
        <v>148</v>
      </c>
      <c r="B54" s="52">
        <v>181.75</v>
      </c>
      <c r="C54" s="52">
        <v>279.6</v>
      </c>
      <c r="D54" s="52">
        <v>187.86</v>
      </c>
      <c r="E54" s="52">
        <v>310.4</v>
      </c>
      <c r="F54" s="52">
        <f>SUM(F55:F59)</f>
        <v>274.07</v>
      </c>
      <c r="G54" s="53">
        <f t="shared" si="0"/>
        <v>0.45890556797615223</v>
      </c>
      <c r="H54" s="53">
        <f t="shared" si="1"/>
        <v>-0.11704252577319585</v>
      </c>
      <c r="I54" s="58"/>
    </row>
    <row r="55" spans="1:13" s="38" customFormat="1" ht="13.5" customHeight="1">
      <c r="A55" s="54" t="s">
        <v>149</v>
      </c>
      <c r="B55" s="55">
        <v>98.8</v>
      </c>
      <c r="C55" s="55">
        <v>119.78</v>
      </c>
      <c r="D55" s="55">
        <v>101.23</v>
      </c>
      <c r="E55" s="55">
        <v>212.39</v>
      </c>
      <c r="F55" s="55">
        <v>197.57</v>
      </c>
      <c r="G55" s="56">
        <f t="shared" si="0"/>
        <v>0.9516941618097401</v>
      </c>
      <c r="H55" s="56">
        <f t="shared" si="1"/>
        <v>-0.06977729648288522</v>
      </c>
      <c r="I55" s="59"/>
      <c r="K55" s="38">
        <v>281.69</v>
      </c>
      <c r="L55" s="38">
        <v>142.69</v>
      </c>
      <c r="M55" s="60">
        <v>1373872.25</v>
      </c>
    </row>
    <row r="56" spans="1:13" s="38" customFormat="1" ht="13.5" customHeight="1">
      <c r="A56" s="54" t="s">
        <v>150</v>
      </c>
      <c r="B56" s="55">
        <v>0</v>
      </c>
      <c r="C56" s="55">
        <v>0</v>
      </c>
      <c r="D56" s="55">
        <v>0.2</v>
      </c>
      <c r="E56" s="55">
        <v>0.04</v>
      </c>
      <c r="F56" s="55">
        <v>0.2</v>
      </c>
      <c r="G56" s="55">
        <v>0</v>
      </c>
      <c r="H56" s="56">
        <f t="shared" si="1"/>
        <v>4</v>
      </c>
      <c r="I56" s="59"/>
      <c r="M56" s="60"/>
    </row>
    <row r="57" spans="1:13" s="38" customFormat="1" ht="13.5" customHeight="1">
      <c r="A57" s="54" t="s">
        <v>151</v>
      </c>
      <c r="B57" s="55">
        <v>60.35</v>
      </c>
      <c r="C57" s="55">
        <v>87.15</v>
      </c>
      <c r="D57" s="55">
        <v>59.15</v>
      </c>
      <c r="E57" s="55">
        <v>60.37</v>
      </c>
      <c r="F57" s="55">
        <v>57.03</v>
      </c>
      <c r="G57" s="56">
        <f t="shared" si="0"/>
        <v>-0.03584108199492808</v>
      </c>
      <c r="H57" s="56">
        <f t="shared" si="1"/>
        <v>-0.05532549279443422</v>
      </c>
      <c r="I57" s="59"/>
      <c r="M57" s="60">
        <v>1054673.61</v>
      </c>
    </row>
    <row r="58" spans="1:13" s="38" customFormat="1" ht="13.5" customHeight="1">
      <c r="A58" s="54" t="s">
        <v>152</v>
      </c>
      <c r="B58" s="55">
        <v>5.75</v>
      </c>
      <c r="C58" s="55">
        <v>5.39</v>
      </c>
      <c r="D58" s="55">
        <v>4.95</v>
      </c>
      <c r="E58" s="55">
        <v>4.74</v>
      </c>
      <c r="F58" s="55">
        <v>6.39</v>
      </c>
      <c r="G58" s="56">
        <f t="shared" si="0"/>
        <v>0.2909090909090908</v>
      </c>
      <c r="H58" s="56">
        <f t="shared" si="1"/>
        <v>0.34810126582278467</v>
      </c>
      <c r="I58" s="59"/>
      <c r="M58" s="60">
        <v>59821.75</v>
      </c>
    </row>
    <row r="59" spans="1:13" s="38" customFormat="1" ht="13.5" customHeight="1">
      <c r="A59" s="54" t="s">
        <v>153</v>
      </c>
      <c r="B59" s="55">
        <v>16.85</v>
      </c>
      <c r="C59" s="55">
        <v>67.28</v>
      </c>
      <c r="D59" s="55">
        <v>22.33</v>
      </c>
      <c r="E59" s="55">
        <v>32.86</v>
      </c>
      <c r="F59" s="55">
        <v>12.88</v>
      </c>
      <c r="G59" s="56">
        <f t="shared" si="0"/>
        <v>-0.4231974921630093</v>
      </c>
      <c r="H59" s="56">
        <f t="shared" si="1"/>
        <v>-0.6080340839926963</v>
      </c>
      <c r="I59" s="59"/>
      <c r="M59" s="60">
        <v>240368.8</v>
      </c>
    </row>
    <row r="60" spans="1:12" s="37" customFormat="1" ht="13.5" customHeight="1">
      <c r="A60" s="51" t="s">
        <v>154</v>
      </c>
      <c r="B60" s="52">
        <v>2498.45</v>
      </c>
      <c r="C60" s="52">
        <v>1481.79</v>
      </c>
      <c r="D60" s="52">
        <v>2277.25</v>
      </c>
      <c r="E60" s="52">
        <v>2375.86</v>
      </c>
      <c r="F60" s="52">
        <f>SUM(F61:F77)</f>
        <v>2864.050000000001</v>
      </c>
      <c r="G60" s="53">
        <f t="shared" si="0"/>
        <v>0.257679218355473</v>
      </c>
      <c r="H60" s="53">
        <f t="shared" si="1"/>
        <v>0.20547927908210117</v>
      </c>
      <c r="I60" s="58"/>
      <c r="K60" s="37">
        <v>2107.67</v>
      </c>
      <c r="L60" s="37">
        <v>2790.14</v>
      </c>
    </row>
    <row r="61" spans="1:13" s="38" customFormat="1" ht="13.5" customHeight="1">
      <c r="A61" s="54" t="s">
        <v>155</v>
      </c>
      <c r="B61" s="55">
        <v>593.17</v>
      </c>
      <c r="C61" s="55">
        <v>361.88</v>
      </c>
      <c r="D61" s="55">
        <v>147.92</v>
      </c>
      <c r="E61" s="55">
        <v>285.57</v>
      </c>
      <c r="F61" s="55">
        <v>405.4</v>
      </c>
      <c r="G61" s="56">
        <f t="shared" si="0"/>
        <v>1.740670632774473</v>
      </c>
      <c r="H61" s="56">
        <f t="shared" si="1"/>
        <v>0.4196169065378015</v>
      </c>
      <c r="I61" s="59"/>
      <c r="M61" s="60">
        <v>919291.39</v>
      </c>
    </row>
    <row r="62" spans="1:13" s="38" customFormat="1" ht="13.5" customHeight="1">
      <c r="A62" s="54" t="s">
        <v>156</v>
      </c>
      <c r="B62" s="55">
        <v>167.75</v>
      </c>
      <c r="C62" s="55">
        <v>176.02</v>
      </c>
      <c r="D62" s="55">
        <v>172.98</v>
      </c>
      <c r="E62" s="55">
        <v>167.02</v>
      </c>
      <c r="F62" s="55">
        <v>173.75</v>
      </c>
      <c r="G62" s="56">
        <f t="shared" si="0"/>
        <v>0.004451381662619935</v>
      </c>
      <c r="H62" s="56">
        <f t="shared" si="1"/>
        <v>0.04029457549993998</v>
      </c>
      <c r="I62" s="59"/>
      <c r="M62" s="60">
        <v>1907207.64</v>
      </c>
    </row>
    <row r="63" spans="1:13" s="38" customFormat="1" ht="13.5" customHeight="1">
      <c r="A63" s="54" t="s">
        <v>157</v>
      </c>
      <c r="B63" s="55">
        <v>559.49</v>
      </c>
      <c r="C63" s="55">
        <v>52.78</v>
      </c>
      <c r="D63" s="55">
        <v>736.16</v>
      </c>
      <c r="E63" s="55">
        <v>657.73</v>
      </c>
      <c r="F63" s="55">
        <v>964.07</v>
      </c>
      <c r="G63" s="56">
        <f t="shared" si="0"/>
        <v>0.30959302325581417</v>
      </c>
      <c r="H63" s="56">
        <f t="shared" si="1"/>
        <v>0.46575342465753433</v>
      </c>
      <c r="I63" s="59"/>
      <c r="M63" s="60">
        <v>11087124.54</v>
      </c>
    </row>
    <row r="64" spans="1:13" s="38" customFormat="1" ht="13.5" customHeight="1">
      <c r="A64" s="54" t="s">
        <v>158</v>
      </c>
      <c r="B64" s="55">
        <v>364.61</v>
      </c>
      <c r="C64" s="55">
        <v>328.92</v>
      </c>
      <c r="D64" s="55">
        <v>401.1</v>
      </c>
      <c r="E64" s="55">
        <v>383.39</v>
      </c>
      <c r="F64" s="55">
        <v>423.09</v>
      </c>
      <c r="G64" s="56">
        <f t="shared" si="0"/>
        <v>0.054824233358264696</v>
      </c>
      <c r="H64" s="56">
        <f t="shared" si="1"/>
        <v>0.10354991001330238</v>
      </c>
      <c r="I64" s="59"/>
      <c r="M64" s="60">
        <v>3177559.01</v>
      </c>
    </row>
    <row r="65" spans="1:13" s="38" customFormat="1" ht="13.5" customHeight="1">
      <c r="A65" s="54" t="s">
        <v>159</v>
      </c>
      <c r="B65" s="55">
        <v>27.13</v>
      </c>
      <c r="C65" s="55">
        <v>55.25</v>
      </c>
      <c r="D65" s="55">
        <v>127.68</v>
      </c>
      <c r="E65" s="55">
        <v>90.34</v>
      </c>
      <c r="F65" s="55">
        <v>85.12</v>
      </c>
      <c r="G65" s="56">
        <f t="shared" si="0"/>
        <v>-0.33333333333333337</v>
      </c>
      <c r="H65" s="56">
        <f t="shared" si="1"/>
        <v>-0.05778171352667694</v>
      </c>
      <c r="I65" s="59"/>
      <c r="M65" s="60">
        <v>120100</v>
      </c>
    </row>
    <row r="66" spans="1:13" s="38" customFormat="1" ht="13.5" customHeight="1">
      <c r="A66" s="54" t="s">
        <v>160</v>
      </c>
      <c r="B66" s="55">
        <v>4.29</v>
      </c>
      <c r="C66" s="55">
        <v>1.14</v>
      </c>
      <c r="D66" s="55">
        <v>0.42</v>
      </c>
      <c r="E66" s="55">
        <v>0.42</v>
      </c>
      <c r="F66" s="55">
        <v>0.55</v>
      </c>
      <c r="G66" s="56">
        <f t="shared" si="0"/>
        <v>0.30952380952380976</v>
      </c>
      <c r="H66" s="56">
        <f t="shared" si="1"/>
        <v>0.30952380952380976</v>
      </c>
      <c r="I66" s="59"/>
      <c r="M66" s="60">
        <v>8825.24</v>
      </c>
    </row>
    <row r="67" spans="1:13" s="38" customFormat="1" ht="13.5" customHeight="1">
      <c r="A67" s="54" t="s">
        <v>161</v>
      </c>
      <c r="B67" s="55">
        <v>43.9</v>
      </c>
      <c r="C67" s="55">
        <v>37.9</v>
      </c>
      <c r="D67" s="55">
        <v>30.6</v>
      </c>
      <c r="E67" s="55">
        <v>36.41</v>
      </c>
      <c r="F67" s="55">
        <v>39.61</v>
      </c>
      <c r="G67" s="56">
        <f t="shared" si="0"/>
        <v>0.2944444444444443</v>
      </c>
      <c r="H67" s="56">
        <f t="shared" si="1"/>
        <v>0.08788794287283719</v>
      </c>
      <c r="I67" s="59"/>
      <c r="M67" s="60">
        <v>210944</v>
      </c>
    </row>
    <row r="68" spans="1:13" s="38" customFormat="1" ht="13.5" customHeight="1">
      <c r="A68" s="54" t="s">
        <v>162</v>
      </c>
      <c r="B68" s="55">
        <v>369.06</v>
      </c>
      <c r="C68" s="55">
        <v>291.78</v>
      </c>
      <c r="D68" s="55">
        <v>336.46</v>
      </c>
      <c r="E68" s="55">
        <v>313.06</v>
      </c>
      <c r="F68" s="55">
        <v>355.51</v>
      </c>
      <c r="G68" s="56">
        <f t="shared" si="0"/>
        <v>0.05661891458122814</v>
      </c>
      <c r="H68" s="56">
        <f t="shared" si="1"/>
        <v>0.13559701015779724</v>
      </c>
      <c r="I68" s="59"/>
      <c r="M68" s="60">
        <v>2453243.96</v>
      </c>
    </row>
    <row r="69" spans="1:13" s="38" customFormat="1" ht="13.5" customHeight="1">
      <c r="A69" s="54" t="s">
        <v>163</v>
      </c>
      <c r="B69" s="55">
        <v>102.89</v>
      </c>
      <c r="C69" s="55">
        <v>91.83</v>
      </c>
      <c r="D69" s="55">
        <v>117.89</v>
      </c>
      <c r="E69" s="55">
        <v>88.37</v>
      </c>
      <c r="F69" s="55">
        <v>137.98</v>
      </c>
      <c r="G69" s="56">
        <f t="shared" si="0"/>
        <v>0.17041309695478835</v>
      </c>
      <c r="H69" s="56">
        <f t="shared" si="1"/>
        <v>0.5613896118592281</v>
      </c>
      <c r="I69" s="59"/>
      <c r="M69" s="60">
        <v>37080</v>
      </c>
    </row>
    <row r="70" spans="1:13" s="38" customFormat="1" ht="13.5" customHeight="1" hidden="1">
      <c r="A70" s="54" t="s">
        <v>164</v>
      </c>
      <c r="B70" s="55">
        <v>0</v>
      </c>
      <c r="C70" s="52">
        <v>0</v>
      </c>
      <c r="D70" s="55">
        <v>0</v>
      </c>
      <c r="E70" s="55">
        <v>0</v>
      </c>
      <c r="F70" s="55"/>
      <c r="G70" s="56" t="e">
        <f t="shared" si="0"/>
        <v>#DIV/0!</v>
      </c>
      <c r="H70" s="56" t="e">
        <f t="shared" si="1"/>
        <v>#DIV/0!</v>
      </c>
      <c r="I70" s="59"/>
      <c r="M70" s="60">
        <v>151709</v>
      </c>
    </row>
    <row r="71" spans="1:13" s="38" customFormat="1" ht="13.5" customHeight="1" hidden="1">
      <c r="A71" s="54" t="s">
        <v>165</v>
      </c>
      <c r="B71" s="55">
        <v>6</v>
      </c>
      <c r="C71" s="52">
        <v>0</v>
      </c>
      <c r="D71" s="55">
        <v>0</v>
      </c>
      <c r="E71" s="55">
        <v>0</v>
      </c>
      <c r="F71" s="55"/>
      <c r="G71" s="56" t="e">
        <f aca="true" t="shared" si="2" ref="G71:G133">F71/D71-1</f>
        <v>#DIV/0!</v>
      </c>
      <c r="H71" s="56" t="e">
        <f aca="true" t="shared" si="3" ref="H71:H133">F71/E71-1</f>
        <v>#DIV/0!</v>
      </c>
      <c r="I71" s="59"/>
      <c r="M71" s="60">
        <v>59214</v>
      </c>
    </row>
    <row r="72" spans="1:13" s="38" customFormat="1" ht="13.5" customHeight="1">
      <c r="A72" s="54" t="s">
        <v>166</v>
      </c>
      <c r="B72" s="55">
        <v>18.8</v>
      </c>
      <c r="C72" s="55">
        <v>15.43</v>
      </c>
      <c r="D72" s="55">
        <v>10.8</v>
      </c>
      <c r="E72" s="55">
        <v>10.75</v>
      </c>
      <c r="F72" s="55">
        <v>15.76</v>
      </c>
      <c r="G72" s="56">
        <f t="shared" si="2"/>
        <v>0.45925925925925903</v>
      </c>
      <c r="H72" s="56">
        <f t="shared" si="3"/>
        <v>0.4660465116279069</v>
      </c>
      <c r="I72" s="59"/>
      <c r="M72" s="60">
        <v>186435</v>
      </c>
    </row>
    <row r="73" spans="1:13" s="38" customFormat="1" ht="13.5" customHeight="1">
      <c r="A73" s="54" t="s">
        <v>167</v>
      </c>
      <c r="B73" s="55">
        <v>69.25</v>
      </c>
      <c r="C73" s="55">
        <v>37.18</v>
      </c>
      <c r="D73" s="55">
        <v>12</v>
      </c>
      <c r="E73" s="55">
        <v>17.37</v>
      </c>
      <c r="F73" s="55">
        <v>41.11</v>
      </c>
      <c r="G73" s="56">
        <f t="shared" si="2"/>
        <v>2.4258333333333333</v>
      </c>
      <c r="H73" s="56">
        <f t="shared" si="3"/>
        <v>1.3667242371905584</v>
      </c>
      <c r="I73" s="59"/>
      <c r="M73" s="60">
        <v>919345</v>
      </c>
    </row>
    <row r="74" spans="1:13" s="38" customFormat="1" ht="13.5" customHeight="1">
      <c r="A74" s="54" t="s">
        <v>168</v>
      </c>
      <c r="B74" s="55">
        <v>0</v>
      </c>
      <c r="C74" s="55">
        <v>1.79</v>
      </c>
      <c r="D74" s="55">
        <v>14.52</v>
      </c>
      <c r="E74" s="55">
        <v>16.84</v>
      </c>
      <c r="F74" s="55">
        <v>47.98</v>
      </c>
      <c r="G74" s="56">
        <f t="shared" si="2"/>
        <v>2.3044077134986223</v>
      </c>
      <c r="H74" s="56">
        <f t="shared" si="3"/>
        <v>1.8491686460807601</v>
      </c>
      <c r="I74" s="59"/>
      <c r="M74" s="60"/>
    </row>
    <row r="75" spans="1:13" s="38" customFormat="1" ht="13.5" customHeight="1">
      <c r="A75" s="54" t="s">
        <v>169</v>
      </c>
      <c r="B75" s="55">
        <v>19.8</v>
      </c>
      <c r="C75" s="55">
        <v>18.35</v>
      </c>
      <c r="D75" s="55">
        <v>19.73</v>
      </c>
      <c r="E75" s="55">
        <v>17.23</v>
      </c>
      <c r="F75" s="55">
        <v>21.63</v>
      </c>
      <c r="G75" s="56">
        <f t="shared" si="2"/>
        <v>0.09630005068423708</v>
      </c>
      <c r="H75" s="56">
        <f t="shared" si="3"/>
        <v>0.2553685432385373</v>
      </c>
      <c r="I75" s="59"/>
      <c r="M75" s="60"/>
    </row>
    <row r="76" spans="1:13" s="38" customFormat="1" ht="13.5" customHeight="1">
      <c r="A76" s="54" t="s">
        <v>170</v>
      </c>
      <c r="B76" s="55">
        <v>0</v>
      </c>
      <c r="C76" s="55">
        <v>7.75</v>
      </c>
      <c r="D76" s="55">
        <v>2.5</v>
      </c>
      <c r="E76" s="55">
        <v>2.14</v>
      </c>
      <c r="F76" s="55">
        <v>5</v>
      </c>
      <c r="G76" s="56">
        <f t="shared" si="2"/>
        <v>1</v>
      </c>
      <c r="H76" s="56">
        <f t="shared" si="3"/>
        <v>1.3364485981308412</v>
      </c>
      <c r="I76" s="59"/>
      <c r="M76" s="60"/>
    </row>
    <row r="77" spans="1:13" s="38" customFormat="1" ht="13.5" customHeight="1">
      <c r="A77" s="54" t="s">
        <v>171</v>
      </c>
      <c r="B77" s="55">
        <v>149.08</v>
      </c>
      <c r="C77" s="55">
        <v>3.79</v>
      </c>
      <c r="D77" s="55">
        <v>146.49</v>
      </c>
      <c r="E77" s="55">
        <v>289.22</v>
      </c>
      <c r="F77" s="55">
        <v>147.49</v>
      </c>
      <c r="G77" s="56">
        <f t="shared" si="2"/>
        <v>0.006826404532732644</v>
      </c>
      <c r="H77" s="56">
        <f t="shared" si="3"/>
        <v>-0.49004218242168596</v>
      </c>
      <c r="I77" s="59"/>
      <c r="M77" s="60">
        <v>661275.24</v>
      </c>
    </row>
    <row r="78" spans="1:12" s="37" customFormat="1" ht="13.5" customHeight="1">
      <c r="A78" s="51" t="s">
        <v>172</v>
      </c>
      <c r="B78" s="52">
        <v>5489.32</v>
      </c>
      <c r="C78" s="52">
        <v>4883.39</v>
      </c>
      <c r="D78" s="52">
        <v>5690.67</v>
      </c>
      <c r="E78" s="52">
        <v>4232.35</v>
      </c>
      <c r="F78" s="52">
        <f>SUM(F79:F88)+0.01</f>
        <v>5318.58</v>
      </c>
      <c r="G78" s="53">
        <f t="shared" si="2"/>
        <v>-0.06538597388356737</v>
      </c>
      <c r="H78" s="53">
        <f t="shared" si="3"/>
        <v>0.2566493791865039</v>
      </c>
      <c r="I78" s="58"/>
      <c r="K78" s="37">
        <v>3601.27</v>
      </c>
      <c r="L78" s="37">
        <v>4738.51</v>
      </c>
    </row>
    <row r="79" spans="1:13" s="38" customFormat="1" ht="13.5" customHeight="1">
      <c r="A79" s="54" t="s">
        <v>173</v>
      </c>
      <c r="B79" s="55">
        <v>33</v>
      </c>
      <c r="C79" s="55">
        <v>31.52</v>
      </c>
      <c r="D79" s="55">
        <v>113.48</v>
      </c>
      <c r="E79" s="55">
        <v>109.91</v>
      </c>
      <c r="F79" s="55">
        <v>171.16</v>
      </c>
      <c r="G79" s="56">
        <f t="shared" si="2"/>
        <v>0.5082833979555867</v>
      </c>
      <c r="H79" s="56">
        <f t="shared" si="3"/>
        <v>0.5572741333818578</v>
      </c>
      <c r="I79" s="59"/>
      <c r="M79" s="60">
        <v>25000</v>
      </c>
    </row>
    <row r="80" spans="1:13" s="38" customFormat="1" ht="13.5" customHeight="1">
      <c r="A80" s="54" t="s">
        <v>174</v>
      </c>
      <c r="B80" s="55">
        <v>4411.71</v>
      </c>
      <c r="C80" s="55">
        <v>3819</v>
      </c>
      <c r="D80" s="55">
        <v>4515.06</v>
      </c>
      <c r="E80" s="55">
        <v>3302.66</v>
      </c>
      <c r="F80" s="55">
        <v>4425.36</v>
      </c>
      <c r="G80" s="56">
        <f t="shared" si="2"/>
        <v>-0.01986684562331409</v>
      </c>
      <c r="H80" s="56">
        <f t="shared" si="3"/>
        <v>0.33993811049275435</v>
      </c>
      <c r="I80" s="59"/>
      <c r="M80" s="60">
        <v>39228314</v>
      </c>
    </row>
    <row r="81" spans="1:13" s="38" customFormat="1" ht="13.5" customHeight="1">
      <c r="A81" s="54" t="s">
        <v>175</v>
      </c>
      <c r="B81" s="55">
        <v>173.03</v>
      </c>
      <c r="C81" s="55">
        <v>207</v>
      </c>
      <c r="D81" s="55">
        <v>474.19</v>
      </c>
      <c r="E81" s="55">
        <v>403.56</v>
      </c>
      <c r="F81" s="55">
        <v>239.62</v>
      </c>
      <c r="G81" s="56">
        <f t="shared" si="2"/>
        <v>-0.4946751302220629</v>
      </c>
      <c r="H81" s="56">
        <f t="shared" si="3"/>
        <v>-0.40623451283576173</v>
      </c>
      <c r="I81" s="59"/>
      <c r="M81" s="60">
        <v>2049225.1</v>
      </c>
    </row>
    <row r="82" spans="1:13" s="38" customFormat="1" ht="13.5" customHeight="1">
      <c r="A82" s="54" t="s">
        <v>176</v>
      </c>
      <c r="B82" s="55">
        <v>323.1</v>
      </c>
      <c r="C82" s="55">
        <v>287.18</v>
      </c>
      <c r="D82" s="55">
        <v>26.14</v>
      </c>
      <c r="E82" s="55">
        <v>27.71</v>
      </c>
      <c r="F82" s="55">
        <v>0</v>
      </c>
      <c r="G82" s="56">
        <f t="shared" si="2"/>
        <v>-1</v>
      </c>
      <c r="H82" s="56">
        <f t="shared" si="3"/>
        <v>-1</v>
      </c>
      <c r="I82" s="59"/>
      <c r="M82" s="60">
        <v>2352828.9</v>
      </c>
    </row>
    <row r="83" spans="1:13" s="38" customFormat="1" ht="13.5" customHeight="1">
      <c r="A83" s="54" t="s">
        <v>177</v>
      </c>
      <c r="B83" s="55">
        <v>0</v>
      </c>
      <c r="C83" s="55">
        <v>7</v>
      </c>
      <c r="D83" s="55">
        <v>0</v>
      </c>
      <c r="E83" s="55">
        <v>8</v>
      </c>
      <c r="F83" s="55">
        <v>0</v>
      </c>
      <c r="G83" s="55">
        <v>0</v>
      </c>
      <c r="H83" s="55">
        <v>0</v>
      </c>
      <c r="I83" s="59"/>
      <c r="M83" s="60"/>
    </row>
    <row r="84" spans="1:13" s="38" customFormat="1" ht="13.5" customHeight="1">
      <c r="A84" s="54" t="s">
        <v>178</v>
      </c>
      <c r="B84" s="55">
        <v>522.2</v>
      </c>
      <c r="C84" s="55">
        <v>490.15</v>
      </c>
      <c r="D84" s="55">
        <v>504.16</v>
      </c>
      <c r="E84" s="55">
        <v>308.89</v>
      </c>
      <c r="F84" s="55">
        <v>420.96</v>
      </c>
      <c r="G84" s="56">
        <f t="shared" si="2"/>
        <v>-0.16502697556331336</v>
      </c>
      <c r="H84" s="56">
        <f t="shared" si="3"/>
        <v>0.36281524167179247</v>
      </c>
      <c r="I84" s="59"/>
      <c r="M84" s="60">
        <v>5260504.39</v>
      </c>
    </row>
    <row r="85" spans="1:13" s="38" customFormat="1" ht="13.5" customHeight="1">
      <c r="A85" s="54" t="s">
        <v>179</v>
      </c>
      <c r="B85" s="55">
        <v>26.29</v>
      </c>
      <c r="C85" s="55">
        <v>41.53</v>
      </c>
      <c r="D85" s="55">
        <v>57.64</v>
      </c>
      <c r="E85" s="55">
        <v>70.92</v>
      </c>
      <c r="F85" s="55">
        <v>55.83</v>
      </c>
      <c r="G85" s="56">
        <f t="shared" si="2"/>
        <v>-0.03140180430256767</v>
      </c>
      <c r="H85" s="56">
        <f t="shared" si="3"/>
        <v>-0.2127749576988156</v>
      </c>
      <c r="I85" s="59"/>
      <c r="M85" s="60">
        <v>761428.92</v>
      </c>
    </row>
    <row r="86" spans="1:13" s="38" customFormat="1" ht="13.5" customHeight="1">
      <c r="A86" s="54" t="s">
        <v>180</v>
      </c>
      <c r="B86" s="55"/>
      <c r="C86" s="55"/>
      <c r="D86" s="55">
        <v>0</v>
      </c>
      <c r="E86" s="55">
        <v>0</v>
      </c>
      <c r="F86" s="55">
        <v>5</v>
      </c>
      <c r="G86" s="55">
        <v>0</v>
      </c>
      <c r="H86" s="55">
        <v>0</v>
      </c>
      <c r="I86" s="59"/>
      <c r="M86" s="60"/>
    </row>
    <row r="87" spans="1:13" s="38" customFormat="1" ht="13.5" customHeight="1">
      <c r="A87" s="54" t="s">
        <v>181</v>
      </c>
      <c r="B87" s="55"/>
      <c r="C87" s="55"/>
      <c r="D87" s="55">
        <v>0</v>
      </c>
      <c r="E87" s="55">
        <v>0</v>
      </c>
      <c r="F87" s="55">
        <v>0.64</v>
      </c>
      <c r="G87" s="55">
        <v>0</v>
      </c>
      <c r="H87" s="55">
        <v>0</v>
      </c>
      <c r="I87" s="59"/>
      <c r="M87" s="60"/>
    </row>
    <row r="88" spans="1:13" s="38" customFormat="1" ht="13.5" customHeight="1">
      <c r="A88" s="54" t="s">
        <v>182</v>
      </c>
      <c r="B88" s="55">
        <f>N88/10000</f>
        <v>0</v>
      </c>
      <c r="C88" s="55">
        <v>0</v>
      </c>
      <c r="D88" s="55">
        <v>0</v>
      </c>
      <c r="E88" s="55">
        <v>0.7</v>
      </c>
      <c r="F88" s="55">
        <v>0</v>
      </c>
      <c r="G88" s="55">
        <v>0</v>
      </c>
      <c r="H88" s="55">
        <v>0</v>
      </c>
      <c r="I88" s="59"/>
      <c r="M88" s="60">
        <v>0</v>
      </c>
    </row>
    <row r="89" spans="1:12" s="37" customFormat="1" ht="13.5" customHeight="1">
      <c r="A89" s="51" t="s">
        <v>183</v>
      </c>
      <c r="B89" s="52">
        <v>1473.51</v>
      </c>
      <c r="C89" s="52">
        <v>642.17</v>
      </c>
      <c r="D89" s="52">
        <v>311.69</v>
      </c>
      <c r="E89" s="52">
        <v>465.71</v>
      </c>
      <c r="F89" s="52">
        <f>SUM(F90:F95)</f>
        <v>887.98</v>
      </c>
      <c r="G89" s="53">
        <f t="shared" si="2"/>
        <v>1.8489204016811578</v>
      </c>
      <c r="H89" s="53">
        <f t="shared" si="3"/>
        <v>0.9067230680036935</v>
      </c>
      <c r="I89" s="58"/>
      <c r="K89" s="37">
        <v>445.24</v>
      </c>
      <c r="L89" s="37">
        <v>442.15</v>
      </c>
    </row>
    <row r="90" spans="1:13" s="38" customFormat="1" ht="13.5" customHeight="1">
      <c r="A90" s="54" t="s">
        <v>184</v>
      </c>
      <c r="B90" s="55">
        <v>2.2</v>
      </c>
      <c r="C90" s="55">
        <v>2.6</v>
      </c>
      <c r="D90" s="55">
        <v>20.58</v>
      </c>
      <c r="E90" s="55">
        <v>19.42</v>
      </c>
      <c r="F90" s="55">
        <v>5</v>
      </c>
      <c r="G90" s="56">
        <f t="shared" si="2"/>
        <v>-0.7570456754130224</v>
      </c>
      <c r="H90" s="56">
        <f t="shared" si="3"/>
        <v>-0.7425334706488157</v>
      </c>
      <c r="I90" s="59"/>
      <c r="M90" s="60">
        <v>198301.64</v>
      </c>
    </row>
    <row r="91" spans="1:13" s="38" customFormat="1" ht="13.5" customHeight="1">
      <c r="A91" s="54" t="s">
        <v>185</v>
      </c>
      <c r="B91" s="55">
        <v>8.4</v>
      </c>
      <c r="C91" s="55">
        <v>5.21</v>
      </c>
      <c r="D91" s="55">
        <v>5</v>
      </c>
      <c r="E91" s="55">
        <v>51.07</v>
      </c>
      <c r="F91" s="55">
        <v>5</v>
      </c>
      <c r="G91" s="55">
        <v>0</v>
      </c>
      <c r="H91" s="56">
        <f t="shared" si="3"/>
        <v>-0.902095163501077</v>
      </c>
      <c r="I91" s="59"/>
      <c r="M91" s="60">
        <v>18830</v>
      </c>
    </row>
    <row r="92" spans="1:13" s="38" customFormat="1" ht="13.5" customHeight="1">
      <c r="A92" s="54" t="s">
        <v>186</v>
      </c>
      <c r="B92" s="55">
        <v>356.41</v>
      </c>
      <c r="C92" s="55">
        <v>341.97</v>
      </c>
      <c r="D92" s="55">
        <v>1.46</v>
      </c>
      <c r="E92" s="55">
        <v>1.46</v>
      </c>
      <c r="F92" s="55">
        <v>436.13</v>
      </c>
      <c r="G92" s="56">
        <f t="shared" si="2"/>
        <v>297.7191780821918</v>
      </c>
      <c r="H92" s="56">
        <f t="shared" si="3"/>
        <v>297.7191780821918</v>
      </c>
      <c r="I92" s="59"/>
      <c r="M92" s="60">
        <v>3535839.28</v>
      </c>
    </row>
    <row r="93" spans="1:13" s="38" customFormat="1" ht="13.5" customHeight="1">
      <c r="A93" s="54" t="s">
        <v>187</v>
      </c>
      <c r="B93" s="55">
        <v>3.6</v>
      </c>
      <c r="C93" s="55">
        <v>3.59</v>
      </c>
      <c r="D93" s="55">
        <v>273.75</v>
      </c>
      <c r="E93" s="55">
        <v>184.15</v>
      </c>
      <c r="F93" s="55">
        <v>348.25</v>
      </c>
      <c r="G93" s="56">
        <f t="shared" si="2"/>
        <v>0.2721461187214611</v>
      </c>
      <c r="H93" s="56">
        <f t="shared" si="3"/>
        <v>0.8911213684496333</v>
      </c>
      <c r="I93" s="59"/>
      <c r="M93" s="60">
        <v>602406.5</v>
      </c>
    </row>
    <row r="94" spans="1:13" s="38" customFormat="1" ht="13.5" customHeight="1" hidden="1">
      <c r="A94" s="54" t="s">
        <v>188</v>
      </c>
      <c r="B94" s="55">
        <f>N94/10000</f>
        <v>0</v>
      </c>
      <c r="C94" s="52">
        <v>0</v>
      </c>
      <c r="D94" s="55">
        <v>0</v>
      </c>
      <c r="E94" s="55">
        <v>0</v>
      </c>
      <c r="F94" s="55"/>
      <c r="G94" s="56" t="e">
        <f t="shared" si="2"/>
        <v>#DIV/0!</v>
      </c>
      <c r="H94" s="56" t="e">
        <f t="shared" si="3"/>
        <v>#DIV/0!</v>
      </c>
      <c r="I94" s="59"/>
      <c r="M94" s="60">
        <v>0</v>
      </c>
    </row>
    <row r="95" spans="1:13" s="38" customFormat="1" ht="13.5" customHeight="1">
      <c r="A95" s="54" t="s">
        <v>189</v>
      </c>
      <c r="B95" s="55">
        <v>1102.9</v>
      </c>
      <c r="C95" s="55">
        <v>288.8</v>
      </c>
      <c r="D95" s="55">
        <v>10.9</v>
      </c>
      <c r="E95" s="55">
        <v>209.61</v>
      </c>
      <c r="F95" s="55">
        <v>93.6</v>
      </c>
      <c r="G95" s="56">
        <f t="shared" si="2"/>
        <v>7.587155963302752</v>
      </c>
      <c r="H95" s="56">
        <f t="shared" si="3"/>
        <v>-0.553456419063976</v>
      </c>
      <c r="I95" s="59"/>
      <c r="M95" s="60">
        <v>4458872.95</v>
      </c>
    </row>
    <row r="96" spans="1:13" s="38" customFormat="1" ht="13.5" customHeight="1" hidden="1">
      <c r="A96" s="54" t="s">
        <v>190</v>
      </c>
      <c r="B96" s="55">
        <f>N96/10000</f>
        <v>0</v>
      </c>
      <c r="C96" s="55">
        <v>0</v>
      </c>
      <c r="D96" s="55">
        <v>0</v>
      </c>
      <c r="E96" s="55">
        <v>0</v>
      </c>
      <c r="F96" s="55"/>
      <c r="G96" s="53" t="e">
        <f t="shared" si="2"/>
        <v>#DIV/0!</v>
      </c>
      <c r="H96" s="53" t="e">
        <f t="shared" si="3"/>
        <v>#DIV/0!</v>
      </c>
      <c r="I96" s="59"/>
      <c r="M96" s="60">
        <v>0</v>
      </c>
    </row>
    <row r="97" spans="1:12" s="37" customFormat="1" ht="13.5" customHeight="1">
      <c r="A97" s="51" t="s">
        <v>191</v>
      </c>
      <c r="B97" s="52">
        <v>3362.74</v>
      </c>
      <c r="C97" s="52">
        <v>3458.79</v>
      </c>
      <c r="D97" s="52">
        <v>4226.03</v>
      </c>
      <c r="E97" s="52">
        <v>3119.12</v>
      </c>
      <c r="F97" s="52">
        <f>SUM(F98:F103)</f>
        <v>1454.6599999999999</v>
      </c>
      <c r="G97" s="53">
        <f t="shared" si="2"/>
        <v>-0.6557856901157824</v>
      </c>
      <c r="H97" s="53">
        <f t="shared" si="3"/>
        <v>-0.5336312806176101</v>
      </c>
      <c r="I97" s="58"/>
      <c r="K97" s="37">
        <v>1930.24</v>
      </c>
      <c r="L97" s="37">
        <v>2276.82</v>
      </c>
    </row>
    <row r="98" spans="1:13" s="38" customFormat="1" ht="13.5" customHeight="1">
      <c r="A98" s="54" t="s">
        <v>192</v>
      </c>
      <c r="B98" s="55">
        <v>227.18</v>
      </c>
      <c r="C98" s="55">
        <v>228.71</v>
      </c>
      <c r="D98" s="55">
        <v>233.9</v>
      </c>
      <c r="E98" s="55">
        <v>234.39</v>
      </c>
      <c r="F98" s="55">
        <v>169.99</v>
      </c>
      <c r="G98" s="56">
        <f t="shared" si="2"/>
        <v>-0.2732364258230012</v>
      </c>
      <c r="H98" s="56">
        <f t="shared" si="3"/>
        <v>-0.27475574896539945</v>
      </c>
      <c r="I98" s="59"/>
      <c r="M98" s="60">
        <v>2549682.8</v>
      </c>
    </row>
    <row r="99" spans="1:13" s="38" customFormat="1" ht="13.5" customHeight="1">
      <c r="A99" s="54" t="s">
        <v>193</v>
      </c>
      <c r="B99" s="55">
        <v>100.9</v>
      </c>
      <c r="C99" s="55">
        <v>70.18</v>
      </c>
      <c r="D99" s="55">
        <v>69.54</v>
      </c>
      <c r="E99" s="55">
        <v>55.67</v>
      </c>
      <c r="F99" s="55">
        <v>48</v>
      </c>
      <c r="G99" s="56">
        <f t="shared" si="2"/>
        <v>-0.30974978429680766</v>
      </c>
      <c r="H99" s="56">
        <f t="shared" si="3"/>
        <v>-0.13777618106700196</v>
      </c>
      <c r="I99" s="59"/>
      <c r="M99" s="60">
        <v>369128.13</v>
      </c>
    </row>
    <row r="100" spans="1:13" s="38" customFormat="1" ht="13.5" customHeight="1">
      <c r="A100" s="54" t="s">
        <v>194</v>
      </c>
      <c r="B100" s="55">
        <v>2140.3</v>
      </c>
      <c r="C100" s="55">
        <v>2472.94</v>
      </c>
      <c r="D100" s="55">
        <v>3224.71</v>
      </c>
      <c r="E100" s="55">
        <v>334.47</v>
      </c>
      <c r="F100" s="55">
        <v>87.91</v>
      </c>
      <c r="G100" s="56">
        <f t="shared" si="2"/>
        <v>-0.9727386338616496</v>
      </c>
      <c r="H100" s="56">
        <f t="shared" si="3"/>
        <v>-0.7371662630430234</v>
      </c>
      <c r="I100" s="59"/>
      <c r="M100" s="60">
        <v>5486009.35</v>
      </c>
    </row>
    <row r="101" spans="1:13" s="38" customFormat="1" ht="13.5" customHeight="1">
      <c r="A101" s="54" t="s">
        <v>195</v>
      </c>
      <c r="B101" s="55">
        <v>871.73</v>
      </c>
      <c r="C101" s="55">
        <v>654.55</v>
      </c>
      <c r="D101" s="55">
        <v>693</v>
      </c>
      <c r="E101" s="55">
        <v>753.85</v>
      </c>
      <c r="F101" s="55">
        <v>709.65</v>
      </c>
      <c r="G101" s="56">
        <f t="shared" si="2"/>
        <v>0.02402597402597406</v>
      </c>
      <c r="H101" s="56">
        <f t="shared" si="3"/>
        <v>-0.05863235391656174</v>
      </c>
      <c r="I101" s="59"/>
      <c r="M101" s="60">
        <v>11780057.93</v>
      </c>
    </row>
    <row r="102" spans="1:13" s="38" customFormat="1" ht="13.5" customHeight="1">
      <c r="A102" s="54" t="s">
        <v>196</v>
      </c>
      <c r="B102" s="55">
        <f>N102/10000</f>
        <v>0</v>
      </c>
      <c r="C102" s="52">
        <v>0</v>
      </c>
      <c r="D102" s="55">
        <v>0</v>
      </c>
      <c r="E102" s="55">
        <v>0</v>
      </c>
      <c r="F102" s="55">
        <v>2.16</v>
      </c>
      <c r="G102" s="55">
        <v>0</v>
      </c>
      <c r="H102" s="55">
        <v>0</v>
      </c>
      <c r="I102" s="59"/>
      <c r="M102" s="60">
        <v>107366</v>
      </c>
    </row>
    <row r="103" spans="1:13" s="38" customFormat="1" ht="13.5" customHeight="1">
      <c r="A103" s="54" t="s">
        <v>197</v>
      </c>
      <c r="B103" s="55">
        <v>22.63</v>
      </c>
      <c r="C103" s="55">
        <v>32.41</v>
      </c>
      <c r="D103" s="55">
        <v>4.88</v>
      </c>
      <c r="E103" s="55">
        <v>1740.74</v>
      </c>
      <c r="F103" s="55">
        <v>436.95</v>
      </c>
      <c r="G103" s="56">
        <f t="shared" si="2"/>
        <v>88.5389344262295</v>
      </c>
      <c r="H103" s="56">
        <f t="shared" si="3"/>
        <v>-0.7489860633983249</v>
      </c>
      <c r="I103" s="59"/>
      <c r="M103" s="60">
        <v>219325.02</v>
      </c>
    </row>
    <row r="104" spans="1:12" s="37" customFormat="1" ht="13.5" customHeight="1">
      <c r="A104" s="51" t="s">
        <v>198</v>
      </c>
      <c r="B104" s="52">
        <v>3390.43</v>
      </c>
      <c r="C104" s="52">
        <v>2409.06</v>
      </c>
      <c r="D104" s="52">
        <v>1911.78</v>
      </c>
      <c r="E104" s="52">
        <v>2070.92</v>
      </c>
      <c r="F104" s="52">
        <f>SUM(F105:F111)</f>
        <v>2057.98</v>
      </c>
      <c r="G104" s="53">
        <f t="shared" si="2"/>
        <v>0.07647323436797127</v>
      </c>
      <c r="H104" s="53">
        <f t="shared" si="3"/>
        <v>-0.006248430649180126</v>
      </c>
      <c r="I104" s="58"/>
      <c r="K104" s="37">
        <v>4376.9</v>
      </c>
      <c r="L104" s="37">
        <v>4772.98</v>
      </c>
    </row>
    <row r="105" spans="1:13" s="38" customFormat="1" ht="13.5" customHeight="1">
      <c r="A105" s="54" t="s">
        <v>199</v>
      </c>
      <c r="B105" s="55">
        <v>359.5</v>
      </c>
      <c r="C105" s="55">
        <v>267.27</v>
      </c>
      <c r="D105" s="55">
        <v>382.68</v>
      </c>
      <c r="E105" s="55">
        <v>443.32</v>
      </c>
      <c r="F105" s="55">
        <v>510.37</v>
      </c>
      <c r="G105" s="56">
        <f t="shared" si="2"/>
        <v>0.33367304275112364</v>
      </c>
      <c r="H105" s="56">
        <f t="shared" si="3"/>
        <v>0.15124515023008223</v>
      </c>
      <c r="I105" s="59"/>
      <c r="K105" s="62"/>
      <c r="L105" s="62"/>
      <c r="M105" s="60">
        <v>2859952.73</v>
      </c>
    </row>
    <row r="106" spans="1:13" s="38" customFormat="1" ht="13.5" customHeight="1">
      <c r="A106" s="54" t="s">
        <v>200</v>
      </c>
      <c r="B106" s="55">
        <v>449.06</v>
      </c>
      <c r="C106" s="55">
        <v>288.97</v>
      </c>
      <c r="D106" s="55">
        <v>375.74</v>
      </c>
      <c r="E106" s="55">
        <v>267.45</v>
      </c>
      <c r="F106" s="55">
        <v>671.13</v>
      </c>
      <c r="G106" s="56">
        <f t="shared" si="2"/>
        <v>0.7861553201682014</v>
      </c>
      <c r="H106" s="56">
        <f t="shared" si="3"/>
        <v>1.5093662366797531</v>
      </c>
      <c r="I106" s="59"/>
      <c r="M106" s="60">
        <v>3680938.83</v>
      </c>
    </row>
    <row r="107" spans="1:13" s="38" customFormat="1" ht="13.5" customHeight="1">
      <c r="A107" s="54" t="s">
        <v>201</v>
      </c>
      <c r="B107" s="55">
        <v>2063.23</v>
      </c>
      <c r="C107" s="55">
        <v>1194.77</v>
      </c>
      <c r="D107" s="55">
        <v>1003.36</v>
      </c>
      <c r="E107" s="55">
        <v>872.51</v>
      </c>
      <c r="F107" s="55">
        <v>618.69</v>
      </c>
      <c r="G107" s="56">
        <f t="shared" si="2"/>
        <v>-0.3833818370275872</v>
      </c>
      <c r="H107" s="56">
        <f t="shared" si="3"/>
        <v>-0.2909078405978154</v>
      </c>
      <c r="I107" s="59"/>
      <c r="M107" s="60">
        <v>26842975.21</v>
      </c>
    </row>
    <row r="108" spans="1:13" s="38" customFormat="1" ht="13.5" customHeight="1">
      <c r="A108" s="54" t="s">
        <v>202</v>
      </c>
      <c r="B108" s="55">
        <v>516.64</v>
      </c>
      <c r="C108" s="55">
        <v>656.05</v>
      </c>
      <c r="D108" s="55">
        <v>128</v>
      </c>
      <c r="E108" s="55">
        <v>442.01</v>
      </c>
      <c r="F108" s="55">
        <v>207.86</v>
      </c>
      <c r="G108" s="56">
        <f t="shared" si="2"/>
        <v>0.6239062500000001</v>
      </c>
      <c r="H108" s="56">
        <f t="shared" si="3"/>
        <v>-0.5297391461731635</v>
      </c>
      <c r="I108" s="59"/>
      <c r="M108" s="60">
        <v>2593987</v>
      </c>
    </row>
    <row r="109" spans="1:13" s="38" customFormat="1" ht="13.5" customHeight="1">
      <c r="A109" s="54" t="s">
        <v>203</v>
      </c>
      <c r="B109" s="55">
        <v>2</v>
      </c>
      <c r="C109" s="55">
        <v>2</v>
      </c>
      <c r="D109" s="55">
        <v>2</v>
      </c>
      <c r="E109" s="55">
        <v>1.97</v>
      </c>
      <c r="F109" s="55">
        <v>5</v>
      </c>
      <c r="G109" s="56">
        <f t="shared" si="2"/>
        <v>1.5</v>
      </c>
      <c r="H109" s="56">
        <f t="shared" si="3"/>
        <v>1.5380710659898478</v>
      </c>
      <c r="I109" s="59"/>
      <c r="M109" s="60">
        <v>0</v>
      </c>
    </row>
    <row r="110" spans="1:13" s="38" customFormat="1" ht="13.5" customHeight="1">
      <c r="A110" s="54" t="s">
        <v>204</v>
      </c>
      <c r="B110" s="55">
        <f>N110/10000</f>
        <v>0</v>
      </c>
      <c r="C110" s="52">
        <v>0</v>
      </c>
      <c r="D110" s="55">
        <v>20</v>
      </c>
      <c r="E110" s="55">
        <v>43.66</v>
      </c>
      <c r="F110" s="55">
        <v>42.93</v>
      </c>
      <c r="G110" s="56">
        <f t="shared" si="2"/>
        <v>1.1465</v>
      </c>
      <c r="H110" s="56">
        <f t="shared" si="3"/>
        <v>-0.016720109940448813</v>
      </c>
      <c r="I110" s="59"/>
      <c r="M110" s="60">
        <v>0</v>
      </c>
    </row>
    <row r="111" spans="1:13" s="38" customFormat="1" ht="13.5" customHeight="1">
      <c r="A111" s="54" t="s">
        <v>205</v>
      </c>
      <c r="B111" s="55"/>
      <c r="C111" s="52"/>
      <c r="D111" s="55">
        <v>0</v>
      </c>
      <c r="E111" s="55">
        <v>0</v>
      </c>
      <c r="F111" s="55">
        <v>2</v>
      </c>
      <c r="G111" s="55">
        <v>0</v>
      </c>
      <c r="H111" s="55">
        <v>0</v>
      </c>
      <c r="I111" s="59"/>
      <c r="M111" s="63"/>
    </row>
    <row r="112" spans="1:9" s="37" customFormat="1" ht="13.5" customHeight="1">
      <c r="A112" s="51" t="s">
        <v>206</v>
      </c>
      <c r="B112" s="52">
        <v>253.31</v>
      </c>
      <c r="C112" s="52">
        <v>110.73</v>
      </c>
      <c r="D112" s="52">
        <v>177.89</v>
      </c>
      <c r="E112" s="52">
        <v>1773.94</v>
      </c>
      <c r="F112" s="52">
        <f>SUM(F113:F115)</f>
        <v>6239.28</v>
      </c>
      <c r="G112" s="53">
        <f t="shared" si="2"/>
        <v>34.073809657653605</v>
      </c>
      <c r="H112" s="53">
        <f t="shared" si="3"/>
        <v>2.51718772901</v>
      </c>
      <c r="I112" s="58"/>
    </row>
    <row r="113" spans="1:13" s="38" customFormat="1" ht="13.5" customHeight="1">
      <c r="A113" s="54" t="s">
        <v>207</v>
      </c>
      <c r="B113" s="55">
        <v>139.91</v>
      </c>
      <c r="C113" s="55">
        <v>57.58</v>
      </c>
      <c r="D113" s="55">
        <v>64.99</v>
      </c>
      <c r="E113" s="55">
        <v>1705.27</v>
      </c>
      <c r="F113" s="55">
        <v>6100.78</v>
      </c>
      <c r="G113" s="56">
        <f t="shared" si="2"/>
        <v>92.87259578396677</v>
      </c>
      <c r="H113" s="56">
        <f t="shared" si="3"/>
        <v>2.577603546652436</v>
      </c>
      <c r="I113" s="59"/>
      <c r="M113" s="60">
        <v>2434064.01</v>
      </c>
    </row>
    <row r="114" spans="1:13" s="38" customFormat="1" ht="13.5" customHeight="1">
      <c r="A114" s="54" t="s">
        <v>208</v>
      </c>
      <c r="B114" s="55">
        <v>107.4</v>
      </c>
      <c r="C114" s="55">
        <v>47.15</v>
      </c>
      <c r="D114" s="55">
        <v>107.4</v>
      </c>
      <c r="E114" s="55">
        <v>62.15</v>
      </c>
      <c r="F114" s="55">
        <v>134.5</v>
      </c>
      <c r="G114" s="56">
        <f t="shared" si="2"/>
        <v>0.25232774674115444</v>
      </c>
      <c r="H114" s="56">
        <f t="shared" si="3"/>
        <v>1.1641190667739343</v>
      </c>
      <c r="I114" s="59"/>
      <c r="M114" s="60">
        <v>3333700</v>
      </c>
    </row>
    <row r="115" spans="1:13" s="38" customFormat="1" ht="13.5" customHeight="1">
      <c r="A115" s="54" t="s">
        <v>209</v>
      </c>
      <c r="B115" s="55">
        <v>6</v>
      </c>
      <c r="C115" s="55">
        <v>6</v>
      </c>
      <c r="D115" s="55">
        <v>5.5</v>
      </c>
      <c r="E115" s="55">
        <v>6.52</v>
      </c>
      <c r="F115" s="55">
        <v>4</v>
      </c>
      <c r="G115" s="56">
        <f t="shared" si="2"/>
        <v>-0.2727272727272727</v>
      </c>
      <c r="H115" s="56">
        <f t="shared" si="3"/>
        <v>-0.38650306748466257</v>
      </c>
      <c r="I115" s="59"/>
      <c r="M115" s="60">
        <v>29982</v>
      </c>
    </row>
    <row r="116" spans="1:9" s="37" customFormat="1" ht="13.5" customHeight="1">
      <c r="A116" s="51" t="s">
        <v>210</v>
      </c>
      <c r="B116" s="52">
        <v>258.65</v>
      </c>
      <c r="C116" s="52">
        <v>214.6</v>
      </c>
      <c r="D116" s="52">
        <v>72.72</v>
      </c>
      <c r="E116" s="52">
        <v>37.89</v>
      </c>
      <c r="F116" s="52">
        <f>SUM(F117:F121)</f>
        <v>5035.61</v>
      </c>
      <c r="G116" s="53">
        <f t="shared" si="2"/>
        <v>68.24656215621562</v>
      </c>
      <c r="H116" s="53">
        <f t="shared" si="3"/>
        <v>131.90076537344945</v>
      </c>
      <c r="I116" s="58"/>
    </row>
    <row r="117" spans="1:9" s="37" customFormat="1" ht="13.5" customHeight="1">
      <c r="A117" s="54" t="s">
        <v>211</v>
      </c>
      <c r="B117" s="52"/>
      <c r="C117" s="52"/>
      <c r="D117" s="55">
        <v>0</v>
      </c>
      <c r="E117" s="55">
        <v>10.44</v>
      </c>
      <c r="F117" s="55">
        <v>4958.33</v>
      </c>
      <c r="G117" s="55">
        <v>0</v>
      </c>
      <c r="H117" s="56">
        <f t="shared" si="3"/>
        <v>473.9358237547893</v>
      </c>
      <c r="I117" s="58"/>
    </row>
    <row r="118" spans="1:9" s="38" customFormat="1" ht="13.5" customHeight="1" hidden="1">
      <c r="A118" s="54" t="s">
        <v>212</v>
      </c>
      <c r="B118" s="55">
        <v>58.65</v>
      </c>
      <c r="C118" s="52">
        <v>0</v>
      </c>
      <c r="D118" s="55">
        <v>0</v>
      </c>
      <c r="E118" s="55">
        <v>0</v>
      </c>
      <c r="F118" s="55"/>
      <c r="G118" s="56" t="e">
        <f t="shared" si="2"/>
        <v>#DIV/0!</v>
      </c>
      <c r="H118" s="56" t="e">
        <f t="shared" si="3"/>
        <v>#DIV/0!</v>
      </c>
      <c r="I118" s="59"/>
    </row>
    <row r="119" spans="1:13" s="38" customFormat="1" ht="13.5" customHeight="1" hidden="1">
      <c r="A119" s="54" t="s">
        <v>213</v>
      </c>
      <c r="B119" s="55">
        <v>200</v>
      </c>
      <c r="C119" s="55">
        <v>200</v>
      </c>
      <c r="D119" s="55">
        <v>0</v>
      </c>
      <c r="E119" s="55">
        <v>0</v>
      </c>
      <c r="F119" s="55"/>
      <c r="G119" s="56" t="e">
        <f t="shared" si="2"/>
        <v>#DIV/0!</v>
      </c>
      <c r="H119" s="56" t="e">
        <f t="shared" si="3"/>
        <v>#DIV/0!</v>
      </c>
      <c r="I119" s="59"/>
      <c r="M119" s="60">
        <v>1786488</v>
      </c>
    </row>
    <row r="120" spans="1:13" s="38" customFormat="1" ht="13.5" customHeight="1">
      <c r="A120" s="54" t="s">
        <v>214</v>
      </c>
      <c r="B120" s="55">
        <v>0</v>
      </c>
      <c r="C120" s="55">
        <v>1</v>
      </c>
      <c r="D120" s="55">
        <v>10.7</v>
      </c>
      <c r="E120" s="55">
        <v>11.7</v>
      </c>
      <c r="F120" s="55">
        <v>14.5</v>
      </c>
      <c r="G120" s="56">
        <f t="shared" si="2"/>
        <v>0.3551401869158879</v>
      </c>
      <c r="H120" s="56">
        <f t="shared" si="3"/>
        <v>0.23931623931623935</v>
      </c>
      <c r="I120" s="59"/>
      <c r="M120" s="60"/>
    </row>
    <row r="121" spans="1:13" s="38" customFormat="1" ht="13.5" customHeight="1">
      <c r="A121" s="54" t="s">
        <v>215</v>
      </c>
      <c r="B121" s="55">
        <f aca="true" t="shared" si="4" ref="B121:B126">N121/10000</f>
        <v>0</v>
      </c>
      <c r="C121" s="55">
        <v>13.6</v>
      </c>
      <c r="D121" s="55">
        <v>62.02</v>
      </c>
      <c r="E121" s="55">
        <v>15.75</v>
      </c>
      <c r="F121" s="55">
        <v>62.78</v>
      </c>
      <c r="G121" s="56">
        <f t="shared" si="2"/>
        <v>0.012254111576910587</v>
      </c>
      <c r="H121" s="56">
        <f t="shared" si="3"/>
        <v>2.9860317460317463</v>
      </c>
      <c r="I121" s="59"/>
      <c r="M121" s="60">
        <v>258209.56</v>
      </c>
    </row>
    <row r="122" spans="1:9" s="37" customFormat="1" ht="13.5" customHeight="1">
      <c r="A122" s="51" t="s">
        <v>216</v>
      </c>
      <c r="B122" s="52">
        <v>6.33</v>
      </c>
      <c r="C122" s="52">
        <v>456.31</v>
      </c>
      <c r="D122" s="52">
        <v>6.6</v>
      </c>
      <c r="E122" s="52">
        <v>8.52</v>
      </c>
      <c r="F122" s="52">
        <v>44.35</v>
      </c>
      <c r="G122" s="53">
        <f t="shared" si="2"/>
        <v>5.719696969696971</v>
      </c>
      <c r="H122" s="53">
        <f t="shared" si="3"/>
        <v>4.205399061032864</v>
      </c>
      <c r="I122" s="58"/>
    </row>
    <row r="123" spans="1:13" s="38" customFormat="1" ht="13.5" customHeight="1">
      <c r="A123" s="54" t="s">
        <v>217</v>
      </c>
      <c r="B123" s="55">
        <f t="shared" si="4"/>
        <v>0</v>
      </c>
      <c r="C123" s="52">
        <v>0</v>
      </c>
      <c r="D123" s="55">
        <v>0</v>
      </c>
      <c r="E123" s="55">
        <v>0.6</v>
      </c>
      <c r="F123" s="55">
        <v>0</v>
      </c>
      <c r="G123" s="55">
        <v>0</v>
      </c>
      <c r="H123" s="55">
        <v>0</v>
      </c>
      <c r="I123" s="59"/>
      <c r="M123" s="60">
        <v>0</v>
      </c>
    </row>
    <row r="124" spans="1:13" s="38" customFormat="1" ht="13.5" customHeight="1">
      <c r="A124" s="54" t="s">
        <v>218</v>
      </c>
      <c r="B124" s="55">
        <v>4.6</v>
      </c>
      <c r="C124" s="55">
        <v>4.6</v>
      </c>
      <c r="D124" s="55">
        <v>4.6</v>
      </c>
      <c r="E124" s="55">
        <v>0</v>
      </c>
      <c r="F124" s="55">
        <v>6.35</v>
      </c>
      <c r="G124" s="56">
        <f t="shared" si="2"/>
        <v>0.3804347826086958</v>
      </c>
      <c r="H124" s="55">
        <v>0</v>
      </c>
      <c r="I124" s="59"/>
      <c r="M124" s="60">
        <v>822298</v>
      </c>
    </row>
    <row r="125" spans="1:13" s="38" customFormat="1" ht="13.5" customHeight="1">
      <c r="A125" s="54" t="s">
        <v>219</v>
      </c>
      <c r="B125" s="55">
        <v>1.73</v>
      </c>
      <c r="C125" s="55">
        <v>1.71</v>
      </c>
      <c r="D125" s="55">
        <v>2</v>
      </c>
      <c r="E125" s="55">
        <v>1.92</v>
      </c>
      <c r="F125" s="55">
        <v>2</v>
      </c>
      <c r="G125" s="55">
        <v>0</v>
      </c>
      <c r="H125" s="56">
        <f t="shared" si="3"/>
        <v>0.04166666666666674</v>
      </c>
      <c r="I125" s="59"/>
      <c r="M125" s="60">
        <v>34127</v>
      </c>
    </row>
    <row r="126" spans="1:13" s="38" customFormat="1" ht="13.5" customHeight="1">
      <c r="A126" s="54" t="s">
        <v>220</v>
      </c>
      <c r="B126" s="55">
        <f t="shared" si="4"/>
        <v>0</v>
      </c>
      <c r="C126" s="55">
        <v>450</v>
      </c>
      <c r="D126" s="55">
        <v>0</v>
      </c>
      <c r="E126" s="55">
        <v>6</v>
      </c>
      <c r="F126" s="55">
        <v>36</v>
      </c>
      <c r="G126" s="55">
        <v>0</v>
      </c>
      <c r="H126" s="56">
        <f t="shared" si="3"/>
        <v>5</v>
      </c>
      <c r="I126" s="59"/>
      <c r="M126" s="60">
        <v>146015</v>
      </c>
    </row>
    <row r="127" spans="1:9" s="37" customFormat="1" ht="13.5" customHeight="1">
      <c r="A127" s="51" t="s">
        <v>221</v>
      </c>
      <c r="B127" s="52">
        <v>3.94</v>
      </c>
      <c r="C127" s="52">
        <v>400.78</v>
      </c>
      <c r="D127" s="52">
        <v>2.66</v>
      </c>
      <c r="E127" s="52">
        <v>1.55</v>
      </c>
      <c r="F127" s="52">
        <v>2.41</v>
      </c>
      <c r="G127" s="53">
        <f t="shared" si="2"/>
        <v>-0.09398496240601506</v>
      </c>
      <c r="H127" s="53">
        <f t="shared" si="3"/>
        <v>0.5548387096774194</v>
      </c>
      <c r="I127" s="58"/>
    </row>
    <row r="128" spans="1:9" s="37" customFormat="1" ht="13.5" customHeight="1">
      <c r="A128" s="54" t="s">
        <v>222</v>
      </c>
      <c r="B128" s="52"/>
      <c r="C128" s="52"/>
      <c r="D128" s="52">
        <v>0</v>
      </c>
      <c r="E128" s="52">
        <v>0</v>
      </c>
      <c r="F128" s="55">
        <v>2.16</v>
      </c>
      <c r="G128" s="55">
        <v>0</v>
      </c>
      <c r="H128" s="55">
        <v>0</v>
      </c>
      <c r="I128" s="58"/>
    </row>
    <row r="129" spans="1:9" s="37" customFormat="1" ht="13.5" customHeight="1">
      <c r="A129" s="54" t="s">
        <v>223</v>
      </c>
      <c r="B129" s="55">
        <f>N129/10000</f>
        <v>0</v>
      </c>
      <c r="C129" s="55">
        <v>400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9"/>
    </row>
    <row r="130" spans="1:13" s="38" customFormat="1" ht="13.5" customHeight="1">
      <c r="A130" s="54" t="s">
        <v>224</v>
      </c>
      <c r="B130" s="55">
        <v>3.94</v>
      </c>
      <c r="C130" s="55">
        <v>0.78</v>
      </c>
      <c r="D130" s="55">
        <v>2.66</v>
      </c>
      <c r="E130" s="55">
        <v>1.55</v>
      </c>
      <c r="F130" s="55">
        <v>0.25</v>
      </c>
      <c r="G130" s="56">
        <f t="shared" si="2"/>
        <v>-0.9060150375939849</v>
      </c>
      <c r="H130" s="56">
        <f t="shared" si="3"/>
        <v>-0.8387096774193549</v>
      </c>
      <c r="I130" s="59"/>
      <c r="M130" s="60">
        <v>6827.34</v>
      </c>
    </row>
    <row r="131" spans="1:12" s="37" customFormat="1" ht="13.5" customHeight="1">
      <c r="A131" s="51" t="s">
        <v>225</v>
      </c>
      <c r="B131" s="52">
        <v>1688.91</v>
      </c>
      <c r="C131" s="52">
        <v>303.03</v>
      </c>
      <c r="D131" s="52">
        <v>1323.16</v>
      </c>
      <c r="E131" s="52">
        <v>423.28</v>
      </c>
      <c r="F131" s="52">
        <f>SUM(F132:F134)</f>
        <v>434.09000000000003</v>
      </c>
      <c r="G131" s="53">
        <f t="shared" si="2"/>
        <v>-0.6719293207170712</v>
      </c>
      <c r="H131" s="53">
        <f t="shared" si="3"/>
        <v>0.025538650538650787</v>
      </c>
      <c r="I131" s="58"/>
      <c r="K131" s="37">
        <v>3.85</v>
      </c>
      <c r="L131" s="37">
        <v>1006.27</v>
      </c>
    </row>
    <row r="132" spans="1:13" s="38" customFormat="1" ht="13.5" customHeight="1">
      <c r="A132" s="54" t="s">
        <v>226</v>
      </c>
      <c r="B132" s="55">
        <v>1352.99</v>
      </c>
      <c r="C132" s="55">
        <v>10.53</v>
      </c>
      <c r="D132" s="55">
        <v>954.8</v>
      </c>
      <c r="E132" s="55">
        <v>107.87</v>
      </c>
      <c r="F132" s="55">
        <v>11.58</v>
      </c>
      <c r="G132" s="56">
        <f t="shared" si="2"/>
        <v>-0.9878718056137411</v>
      </c>
      <c r="H132" s="56">
        <f t="shared" si="3"/>
        <v>-0.8926485584499861</v>
      </c>
      <c r="I132" s="59"/>
      <c r="M132" s="60">
        <v>933195</v>
      </c>
    </row>
    <row r="133" spans="1:13" s="38" customFormat="1" ht="13.5" customHeight="1">
      <c r="A133" s="54" t="s">
        <v>227</v>
      </c>
      <c r="B133" s="55">
        <v>335.92</v>
      </c>
      <c r="C133" s="55">
        <v>292.5</v>
      </c>
      <c r="D133" s="55">
        <v>368.36</v>
      </c>
      <c r="E133" s="55">
        <v>315.41</v>
      </c>
      <c r="F133" s="55">
        <v>420.35</v>
      </c>
      <c r="G133" s="56">
        <f t="shared" si="2"/>
        <v>0.1411391030513629</v>
      </c>
      <c r="H133" s="56">
        <f t="shared" si="3"/>
        <v>0.33270980628388447</v>
      </c>
      <c r="I133" s="59"/>
      <c r="M133" s="60">
        <v>2481789.36</v>
      </c>
    </row>
    <row r="134" spans="1:13" s="38" customFormat="1" ht="13.5" customHeight="1">
      <c r="A134" s="54" t="s">
        <v>228</v>
      </c>
      <c r="B134" s="55"/>
      <c r="C134" s="55"/>
      <c r="D134" s="55">
        <v>0</v>
      </c>
      <c r="E134" s="55">
        <v>0</v>
      </c>
      <c r="F134" s="55">
        <v>2.16</v>
      </c>
      <c r="G134" s="55">
        <v>0</v>
      </c>
      <c r="H134" s="55">
        <v>0</v>
      </c>
      <c r="I134" s="59"/>
      <c r="M134" s="63"/>
    </row>
    <row r="135" spans="1:9" s="37" customFormat="1" ht="13.5" customHeight="1">
      <c r="A135" s="51" t="s">
        <v>229</v>
      </c>
      <c r="B135" s="52">
        <v>351.3</v>
      </c>
      <c r="C135" s="52">
        <v>186.36</v>
      </c>
      <c r="D135" s="52">
        <v>446.24</v>
      </c>
      <c r="E135" s="52">
        <v>153.11</v>
      </c>
      <c r="F135" s="52">
        <f>F136</f>
        <v>888.41</v>
      </c>
      <c r="G135" s="53">
        <f aca="true" t="shared" si="5" ref="G135:G149">F135/D135-1</f>
        <v>0.9908793474363571</v>
      </c>
      <c r="H135" s="53">
        <f aca="true" t="shared" si="6" ref="H135:H149">F135/E135-1</f>
        <v>4.802429625759257</v>
      </c>
      <c r="I135" s="58"/>
    </row>
    <row r="136" spans="1:13" s="38" customFormat="1" ht="13.5" customHeight="1">
      <c r="A136" s="54" t="s">
        <v>230</v>
      </c>
      <c r="B136" s="55">
        <v>351.3</v>
      </c>
      <c r="C136" s="55">
        <v>184.36</v>
      </c>
      <c r="D136" s="55">
        <v>446.24</v>
      </c>
      <c r="E136" s="55">
        <v>153.11</v>
      </c>
      <c r="F136" s="55">
        <v>888.41</v>
      </c>
      <c r="G136" s="56">
        <f t="shared" si="5"/>
        <v>0.9908793474363571</v>
      </c>
      <c r="H136" s="56">
        <f t="shared" si="6"/>
        <v>4.802429625759257</v>
      </c>
      <c r="I136" s="59"/>
      <c r="M136" s="60">
        <v>2120682.51</v>
      </c>
    </row>
    <row r="137" spans="1:13" s="38" customFormat="1" ht="13.5" customHeight="1" hidden="1">
      <c r="A137" s="54" t="s">
        <v>231</v>
      </c>
      <c r="B137" s="52">
        <v>0</v>
      </c>
      <c r="C137" s="55">
        <v>2</v>
      </c>
      <c r="D137" s="52">
        <v>0</v>
      </c>
      <c r="E137" s="52">
        <v>0</v>
      </c>
      <c r="F137" s="52"/>
      <c r="G137" s="53" t="e">
        <f t="shared" si="5"/>
        <v>#DIV/0!</v>
      </c>
      <c r="H137" s="53" t="e">
        <f t="shared" si="6"/>
        <v>#DIV/0!</v>
      </c>
      <c r="I137" s="59"/>
      <c r="M137" s="60">
        <v>33000</v>
      </c>
    </row>
    <row r="138" spans="1:9" s="37" customFormat="1" ht="13.5" customHeight="1" hidden="1">
      <c r="A138" s="51" t="s">
        <v>232</v>
      </c>
      <c r="B138" s="52">
        <v>0</v>
      </c>
      <c r="C138" s="52">
        <v>0</v>
      </c>
      <c r="D138" s="52">
        <v>0</v>
      </c>
      <c r="E138" s="52">
        <v>0</v>
      </c>
      <c r="F138" s="52"/>
      <c r="G138" s="53" t="e">
        <f t="shared" si="5"/>
        <v>#DIV/0!</v>
      </c>
      <c r="H138" s="53" t="e">
        <f t="shared" si="6"/>
        <v>#DIV/0!</v>
      </c>
      <c r="I138" s="58"/>
    </row>
    <row r="139" spans="1:13" s="38" customFormat="1" ht="13.5" customHeight="1" hidden="1">
      <c r="A139" s="54" t="s">
        <v>233</v>
      </c>
      <c r="B139" s="52">
        <v>0</v>
      </c>
      <c r="C139" s="52">
        <v>0</v>
      </c>
      <c r="D139" s="52">
        <v>0</v>
      </c>
      <c r="E139" s="52">
        <v>0</v>
      </c>
      <c r="F139" s="52"/>
      <c r="G139" s="53" t="e">
        <f t="shared" si="5"/>
        <v>#DIV/0!</v>
      </c>
      <c r="H139" s="53" t="e">
        <f t="shared" si="6"/>
        <v>#DIV/0!</v>
      </c>
      <c r="I139" s="59"/>
      <c r="M139" s="38">
        <v>2000</v>
      </c>
    </row>
    <row r="140" spans="1:9" s="37" customFormat="1" ht="13.5" customHeight="1">
      <c r="A140" s="51" t="s">
        <v>234</v>
      </c>
      <c r="B140" s="52">
        <v>1000</v>
      </c>
      <c r="C140" s="52">
        <v>22</v>
      </c>
      <c r="D140" s="52">
        <v>760</v>
      </c>
      <c r="E140" s="52">
        <v>0</v>
      </c>
      <c r="F140" s="52">
        <v>1200</v>
      </c>
      <c r="G140" s="53">
        <f t="shared" si="5"/>
        <v>0.5789473684210527</v>
      </c>
      <c r="H140" s="55">
        <v>0</v>
      </c>
      <c r="I140" s="58"/>
    </row>
    <row r="141" spans="1:9" s="37" customFormat="1" ht="13.5" customHeight="1">
      <c r="A141" s="51" t="s">
        <v>235</v>
      </c>
      <c r="B141" s="52">
        <v>650</v>
      </c>
      <c r="C141" s="52">
        <v>925.07</v>
      </c>
      <c r="D141" s="52">
        <v>670</v>
      </c>
      <c r="E141" s="52">
        <v>0</v>
      </c>
      <c r="F141" s="52">
        <v>0</v>
      </c>
      <c r="G141" s="55">
        <v>0</v>
      </c>
      <c r="H141" s="55">
        <v>0</v>
      </c>
      <c r="I141" s="58"/>
    </row>
    <row r="142" spans="1:13" s="38" customFormat="1" ht="13.5" customHeight="1">
      <c r="A142" s="54" t="s">
        <v>236</v>
      </c>
      <c r="B142" s="55">
        <v>650</v>
      </c>
      <c r="C142" s="55">
        <v>925.07</v>
      </c>
      <c r="D142" s="55">
        <v>670</v>
      </c>
      <c r="E142" s="55">
        <v>0</v>
      </c>
      <c r="F142" s="55">
        <v>0</v>
      </c>
      <c r="G142" s="55">
        <v>0</v>
      </c>
      <c r="H142" s="55">
        <v>0</v>
      </c>
      <c r="I142" s="59"/>
      <c r="M142" s="60">
        <v>6233345.4</v>
      </c>
    </row>
    <row r="143" spans="1:13" s="38" customFormat="1" ht="13.5" customHeight="1">
      <c r="A143" s="51" t="s">
        <v>237</v>
      </c>
      <c r="B143" s="55"/>
      <c r="C143" s="55"/>
      <c r="D143" s="52">
        <v>0</v>
      </c>
      <c r="E143" s="52">
        <v>415</v>
      </c>
      <c r="F143" s="55">
        <v>0</v>
      </c>
      <c r="G143" s="55">
        <v>0</v>
      </c>
      <c r="H143" s="53">
        <f t="shared" si="6"/>
        <v>-1</v>
      </c>
      <c r="I143" s="59"/>
      <c r="M143" s="63"/>
    </row>
    <row r="144" spans="1:13" s="38" customFormat="1" ht="13.5" customHeight="1">
      <c r="A144" s="54" t="s">
        <v>238</v>
      </c>
      <c r="B144" s="55"/>
      <c r="C144" s="55"/>
      <c r="D144" s="55">
        <v>0</v>
      </c>
      <c r="E144" s="55">
        <v>415</v>
      </c>
      <c r="F144" s="55">
        <v>0</v>
      </c>
      <c r="G144" s="55">
        <v>0</v>
      </c>
      <c r="H144" s="56">
        <f t="shared" si="6"/>
        <v>-1</v>
      </c>
      <c r="I144" s="59"/>
      <c r="M144" s="63"/>
    </row>
    <row r="145" spans="1:9" s="37" customFormat="1" ht="13.5" customHeight="1">
      <c r="A145" s="51" t="s">
        <v>239</v>
      </c>
      <c r="B145" s="52">
        <v>0</v>
      </c>
      <c r="C145" s="52">
        <v>0</v>
      </c>
      <c r="D145" s="52">
        <v>0</v>
      </c>
      <c r="E145" s="52">
        <v>2.08</v>
      </c>
      <c r="F145" s="52">
        <v>15</v>
      </c>
      <c r="G145" s="55">
        <v>0</v>
      </c>
      <c r="H145" s="53">
        <f t="shared" si="6"/>
        <v>6.211538461538462</v>
      </c>
      <c r="I145" s="58"/>
    </row>
    <row r="146" spans="1:9" s="37" customFormat="1" ht="13.5" customHeight="1">
      <c r="A146" s="54" t="s">
        <v>240</v>
      </c>
      <c r="B146" s="52"/>
      <c r="C146" s="52"/>
      <c r="D146" s="55">
        <v>0</v>
      </c>
      <c r="E146" s="55">
        <v>2.08</v>
      </c>
      <c r="F146" s="55">
        <v>15</v>
      </c>
      <c r="G146" s="55">
        <v>0</v>
      </c>
      <c r="H146" s="56">
        <f t="shared" si="6"/>
        <v>6.211538461538462</v>
      </c>
      <c r="I146" s="58"/>
    </row>
    <row r="147" spans="1:9" s="37" customFormat="1" ht="13.5" customHeight="1">
      <c r="A147" s="51" t="s">
        <v>241</v>
      </c>
      <c r="B147" s="52"/>
      <c r="C147" s="52"/>
      <c r="D147" s="52">
        <v>0</v>
      </c>
      <c r="E147" s="52">
        <v>0.44</v>
      </c>
      <c r="F147" s="52">
        <v>0</v>
      </c>
      <c r="G147" s="55">
        <v>0</v>
      </c>
      <c r="H147" s="53">
        <f t="shared" si="6"/>
        <v>-1</v>
      </c>
      <c r="I147" s="58"/>
    </row>
    <row r="148" spans="1:9" s="37" customFormat="1" ht="13.5" customHeight="1">
      <c r="A148" s="54" t="s">
        <v>242</v>
      </c>
      <c r="B148" s="52"/>
      <c r="C148" s="52"/>
      <c r="D148" s="55">
        <v>0</v>
      </c>
      <c r="E148" s="55">
        <v>0.44</v>
      </c>
      <c r="F148" s="52">
        <v>0</v>
      </c>
      <c r="G148" s="55">
        <v>0</v>
      </c>
      <c r="H148" s="56">
        <f t="shared" si="6"/>
        <v>-1</v>
      </c>
      <c r="I148" s="58"/>
    </row>
    <row r="149" spans="1:9" s="37" customFormat="1" ht="13.5" customHeight="1">
      <c r="A149" s="64" t="s">
        <v>84</v>
      </c>
      <c r="B149" s="52">
        <f>B6+B31+B39+B48+B54+B60+B78+B89+B97+B104+B112+B116+B122+B135+B138+B141+B145+B127+B140+B131</f>
        <v>32991.12</v>
      </c>
      <c r="C149" s="52">
        <f>C6+C31+C39+C48+C54+C60+C78+C89+C97+C104+C112+C116+C122+C135+C138+C141+C145+C127+C140+C131</f>
        <v>27698.309999999998</v>
      </c>
      <c r="D149" s="52">
        <f aca="true" t="shared" si="7" ref="D149:F149">D6+D31+D39+D48+D54+D60+D78+D89+D97+D104+D112+D116+D122+D135+D138+D141+D145+D127+D140+D131+D143+D147</f>
        <v>32264.119999999995</v>
      </c>
      <c r="E149" s="52">
        <f t="shared" si="7"/>
        <v>28452.809999999998</v>
      </c>
      <c r="F149" s="52">
        <f t="shared" si="7"/>
        <v>42149.700000000004</v>
      </c>
      <c r="G149" s="53">
        <f t="shared" si="5"/>
        <v>0.3063954634436028</v>
      </c>
      <c r="H149" s="53">
        <f t="shared" si="6"/>
        <v>0.4813897115961485</v>
      </c>
      <c r="I149" s="58"/>
    </row>
    <row r="150" spans="1:12" ht="21" customHeight="1">
      <c r="A150" s="65"/>
      <c r="G150" s="66"/>
      <c r="K150" s="68">
        <f>SUM(K18:K149)</f>
        <v>19399.89</v>
      </c>
      <c r="L150" s="68">
        <f>SUM(L18:L149)</f>
        <v>22489.64</v>
      </c>
    </row>
    <row r="151" spans="7:12" ht="21" customHeight="1">
      <c r="G151" s="66"/>
      <c r="J151" s="69" t="s">
        <v>243</v>
      </c>
      <c r="K151" s="39">
        <v>1094</v>
      </c>
      <c r="L151" s="39">
        <v>3837</v>
      </c>
    </row>
    <row r="152" spans="7:12" ht="21" customHeight="1">
      <c r="G152" s="66"/>
      <c r="K152" s="68">
        <f>SUM(K150:K151)</f>
        <v>20493.89</v>
      </c>
      <c r="L152" s="68">
        <f>SUM(L150:L151)</f>
        <v>26326.64</v>
      </c>
    </row>
    <row r="153" ht="21" customHeight="1">
      <c r="G153" s="66"/>
    </row>
    <row r="154" ht="21" customHeight="1">
      <c r="G154" s="66"/>
    </row>
    <row r="155" spans="7:11" ht="21" customHeight="1">
      <c r="G155" s="66"/>
      <c r="K155" s="39">
        <f>L152/K152-1</f>
        <v>0.2846092176741457</v>
      </c>
    </row>
    <row r="156" ht="21" customHeight="1">
      <c r="G156" s="66"/>
    </row>
    <row r="157" ht="21.75" customHeight="1">
      <c r="G157" s="66"/>
    </row>
    <row r="158" ht="21.75" customHeight="1">
      <c r="G158" s="66"/>
    </row>
    <row r="159" spans="7:8" s="35" customFormat="1" ht="21.75" customHeight="1">
      <c r="G159" s="67"/>
      <c r="H159" s="48"/>
    </row>
    <row r="160" spans="7:8" s="35" customFormat="1" ht="21.75" customHeight="1">
      <c r="G160" s="67"/>
      <c r="H160" s="48"/>
    </row>
    <row r="161" spans="7:8" s="35" customFormat="1" ht="21.75" customHeight="1">
      <c r="G161" s="67"/>
      <c r="H161" s="48"/>
    </row>
    <row r="162" spans="7:8" s="35" customFormat="1" ht="21.75" customHeight="1">
      <c r="G162" s="67"/>
      <c r="H162" s="48"/>
    </row>
    <row r="163" spans="7:8" s="35" customFormat="1" ht="21.75" customHeight="1">
      <c r="G163" s="67"/>
      <c r="H163" s="48"/>
    </row>
    <row r="164" spans="7:8" s="35" customFormat="1" ht="21.75" customHeight="1">
      <c r="G164" s="67"/>
      <c r="H164" s="48"/>
    </row>
    <row r="165" spans="7:8" s="35" customFormat="1" ht="21.75" customHeight="1">
      <c r="G165" s="67"/>
      <c r="H165" s="48"/>
    </row>
    <row r="166" spans="7:8" s="35" customFormat="1" ht="21.75" customHeight="1">
      <c r="G166" s="67"/>
      <c r="H166" s="48"/>
    </row>
    <row r="167" spans="7:8" s="35" customFormat="1" ht="21.75" customHeight="1">
      <c r="G167" s="67"/>
      <c r="H167" s="48"/>
    </row>
    <row r="168" spans="7:8" s="35" customFormat="1" ht="21.75" customHeight="1">
      <c r="G168" s="67"/>
      <c r="H168" s="48"/>
    </row>
    <row r="169" spans="7:8" s="35" customFormat="1" ht="21.75" customHeight="1">
      <c r="G169" s="67"/>
      <c r="H169" s="48"/>
    </row>
    <row r="170" spans="7:8" s="35" customFormat="1" ht="21.75" customHeight="1">
      <c r="G170" s="67"/>
      <c r="H170" s="48"/>
    </row>
    <row r="171" spans="7:8" s="35" customFormat="1" ht="21.75" customHeight="1">
      <c r="G171" s="67"/>
      <c r="H171" s="48"/>
    </row>
    <row r="172" spans="7:8" s="35" customFormat="1" ht="21.75" customHeight="1">
      <c r="G172" s="67"/>
      <c r="H172" s="48"/>
    </row>
    <row r="173" spans="7:8" s="35" customFormat="1" ht="21.75" customHeight="1">
      <c r="G173" s="67"/>
      <c r="H173" s="48"/>
    </row>
    <row r="174" s="35" customFormat="1" ht="21.75" customHeight="1">
      <c r="H174" s="48"/>
    </row>
    <row r="175" s="35" customFormat="1" ht="21.75" customHeight="1">
      <c r="H175" s="48"/>
    </row>
    <row r="176" s="35" customFormat="1" ht="21.75" customHeight="1">
      <c r="H176" s="48"/>
    </row>
    <row r="177" s="35" customFormat="1" ht="21.75" customHeight="1">
      <c r="H177" s="48"/>
    </row>
    <row r="178" s="35" customFormat="1" ht="21.75" customHeight="1">
      <c r="H178" s="48"/>
    </row>
    <row r="179" s="35" customFormat="1" ht="21.75" customHeight="1">
      <c r="H179" s="48"/>
    </row>
    <row r="180" s="35" customFormat="1" ht="21.75" customHeight="1">
      <c r="H180" s="48"/>
    </row>
    <row r="181" s="35" customFormat="1" ht="27.75" customHeight="1">
      <c r="H181" s="48"/>
    </row>
    <row r="182" s="35" customFormat="1" ht="27.75" customHeight="1">
      <c r="H182" s="48"/>
    </row>
    <row r="183" s="35" customFormat="1" ht="27.75" customHeight="1">
      <c r="H183" s="48"/>
    </row>
    <row r="184" s="35" customFormat="1" ht="27.75" customHeight="1">
      <c r="H184" s="48"/>
    </row>
    <row r="185" s="35" customFormat="1" ht="27.75" customHeight="1">
      <c r="H185" s="48"/>
    </row>
    <row r="186" s="35" customFormat="1" ht="27.75" customHeight="1">
      <c r="H186" s="48"/>
    </row>
    <row r="187" s="35" customFormat="1" ht="27.75" customHeight="1">
      <c r="H187" s="48"/>
    </row>
    <row r="188" s="35" customFormat="1" ht="27.75" customHeight="1">
      <c r="H188" s="48"/>
    </row>
    <row r="189" s="35" customFormat="1" ht="27.75" customHeight="1">
      <c r="H189" s="48"/>
    </row>
    <row r="190" s="35" customFormat="1" ht="27.75" customHeight="1">
      <c r="H190" s="48"/>
    </row>
    <row r="191" s="35" customFormat="1" ht="27.75" customHeight="1">
      <c r="H191" s="48"/>
    </row>
    <row r="192" s="35" customFormat="1" ht="27.75" customHeight="1">
      <c r="H192" s="48"/>
    </row>
    <row r="193" s="35" customFormat="1" ht="27.75" customHeight="1">
      <c r="H193" s="48"/>
    </row>
    <row r="194" s="35" customFormat="1" ht="27.75" customHeight="1">
      <c r="H194" s="48"/>
    </row>
    <row r="195" s="35" customFormat="1" ht="27.75" customHeight="1">
      <c r="H195" s="48"/>
    </row>
    <row r="196" s="35" customFormat="1" ht="27.75" customHeight="1">
      <c r="H196" s="48"/>
    </row>
    <row r="197" s="35" customFormat="1" ht="27.75" customHeight="1">
      <c r="H197" s="48"/>
    </row>
    <row r="198" s="35" customFormat="1" ht="27.75" customHeight="1">
      <c r="H198" s="48"/>
    </row>
    <row r="199" s="35" customFormat="1" ht="27.75" customHeight="1">
      <c r="H199" s="48"/>
    </row>
    <row r="200" s="35" customFormat="1" ht="27.75" customHeight="1">
      <c r="H200" s="48"/>
    </row>
    <row r="201" s="35" customFormat="1" ht="27.75" customHeight="1">
      <c r="H201" s="48"/>
    </row>
    <row r="202" s="35" customFormat="1" ht="27.75" customHeight="1">
      <c r="H202" s="48"/>
    </row>
    <row r="203" s="35" customFormat="1" ht="27.75" customHeight="1">
      <c r="H203" s="48"/>
    </row>
    <row r="204" s="35" customFormat="1" ht="27.75" customHeight="1">
      <c r="H204" s="48"/>
    </row>
    <row r="205" s="35" customFormat="1" ht="27.75" customHeight="1">
      <c r="H205" s="48"/>
    </row>
    <row r="206" s="35" customFormat="1" ht="27.75" customHeight="1">
      <c r="H206" s="48"/>
    </row>
    <row r="207" s="35" customFormat="1" ht="27.75" customHeight="1">
      <c r="H207" s="48"/>
    </row>
    <row r="208" s="35" customFormat="1" ht="27.75" customHeight="1">
      <c r="H208" s="48"/>
    </row>
    <row r="209" s="35" customFormat="1" ht="27.75" customHeight="1">
      <c r="H209" s="48"/>
    </row>
    <row r="210" s="35" customFormat="1" ht="27.75" customHeight="1">
      <c r="H210" s="48"/>
    </row>
    <row r="211" s="35" customFormat="1" ht="27.75" customHeight="1">
      <c r="H211" s="48"/>
    </row>
    <row r="212" s="35" customFormat="1" ht="27.75" customHeight="1">
      <c r="H212" s="48"/>
    </row>
    <row r="213" s="35" customFormat="1" ht="27.75" customHeight="1">
      <c r="H213" s="48"/>
    </row>
    <row r="214" s="35" customFormat="1" ht="27.75" customHeight="1">
      <c r="H214" s="48"/>
    </row>
    <row r="215" s="35" customFormat="1" ht="27.75" customHeight="1">
      <c r="H215" s="48"/>
    </row>
    <row r="216" s="35" customFormat="1" ht="27.75" customHeight="1">
      <c r="H216" s="48"/>
    </row>
    <row r="217" s="35" customFormat="1" ht="27.75" customHeight="1">
      <c r="H217" s="48"/>
    </row>
    <row r="218" s="35" customFormat="1" ht="27.75" customHeight="1">
      <c r="H218" s="48"/>
    </row>
    <row r="219" s="35" customFormat="1" ht="27.75" customHeight="1">
      <c r="H219" s="48"/>
    </row>
    <row r="220" s="35" customFormat="1" ht="27.75" customHeight="1">
      <c r="H220" s="48"/>
    </row>
    <row r="221" s="35" customFormat="1" ht="27.75" customHeight="1">
      <c r="H221" s="48"/>
    </row>
    <row r="222" s="35" customFormat="1" ht="27.75" customHeight="1">
      <c r="H222" s="48"/>
    </row>
    <row r="223" s="35" customFormat="1" ht="27.75" customHeight="1">
      <c r="H223" s="48"/>
    </row>
    <row r="224" s="35" customFormat="1" ht="27.75" customHeight="1">
      <c r="H224" s="48"/>
    </row>
    <row r="225" s="35" customFormat="1" ht="18.75">
      <c r="H225" s="48"/>
    </row>
    <row r="226" s="35" customFormat="1" ht="18.75">
      <c r="H226" s="48"/>
    </row>
    <row r="227" s="35" customFormat="1" ht="18.75">
      <c r="H227" s="48"/>
    </row>
    <row r="228" s="35" customFormat="1" ht="18.75">
      <c r="H228" s="48"/>
    </row>
    <row r="229" s="35" customFormat="1" ht="18.75">
      <c r="H229" s="48"/>
    </row>
    <row r="230" s="35" customFormat="1" ht="18.75">
      <c r="H230" s="48"/>
    </row>
    <row r="231" s="35" customFormat="1" ht="18.75">
      <c r="H231" s="48"/>
    </row>
    <row r="232" s="35" customFormat="1" ht="18.75">
      <c r="H232" s="48"/>
    </row>
    <row r="233" s="35" customFormat="1" ht="18.75">
      <c r="H233" s="48"/>
    </row>
    <row r="234" s="35" customFormat="1" ht="18.75">
      <c r="H234" s="48"/>
    </row>
    <row r="235" s="35" customFormat="1" ht="18.75">
      <c r="H235" s="48"/>
    </row>
    <row r="236" s="35" customFormat="1" ht="18.75">
      <c r="H236" s="48"/>
    </row>
    <row r="237" s="35" customFormat="1" ht="18.75">
      <c r="H237" s="48"/>
    </row>
    <row r="238" s="35" customFormat="1" ht="18.75">
      <c r="H238" s="48"/>
    </row>
    <row r="239" s="35" customFormat="1" ht="18.75">
      <c r="H239" s="48"/>
    </row>
    <row r="240" s="35" customFormat="1" ht="18.75">
      <c r="H240" s="48"/>
    </row>
    <row r="241" s="35" customFormat="1" ht="18.75">
      <c r="H241" s="48"/>
    </row>
    <row r="242" s="35" customFormat="1" ht="18.75">
      <c r="H242" s="48"/>
    </row>
    <row r="243" s="35" customFormat="1" ht="18.75">
      <c r="H243" s="48"/>
    </row>
    <row r="244" s="35" customFormat="1" ht="18.75">
      <c r="H244" s="48"/>
    </row>
    <row r="245" s="35" customFormat="1" ht="18.75">
      <c r="H245" s="48"/>
    </row>
    <row r="246" s="35" customFormat="1" ht="18.75">
      <c r="H246" s="48"/>
    </row>
    <row r="247" s="35" customFormat="1" ht="18.75">
      <c r="H247" s="48"/>
    </row>
    <row r="248" s="35" customFormat="1" ht="18.75">
      <c r="H248" s="48"/>
    </row>
    <row r="249" s="35" customFormat="1" ht="18.75">
      <c r="H249" s="48"/>
    </row>
    <row r="250" s="35" customFormat="1" ht="18.75">
      <c r="H250" s="48"/>
    </row>
    <row r="251" s="35" customFormat="1" ht="18.75">
      <c r="H251" s="48"/>
    </row>
    <row r="252" s="35" customFormat="1" ht="18.75">
      <c r="H252" s="48"/>
    </row>
    <row r="253" s="35" customFormat="1" ht="18.75">
      <c r="H253" s="48"/>
    </row>
    <row r="254" s="35" customFormat="1" ht="18.75">
      <c r="H254" s="48"/>
    </row>
    <row r="255" s="35" customFormat="1" ht="18.75">
      <c r="H255" s="48"/>
    </row>
    <row r="256" s="35" customFormat="1" ht="18.75">
      <c r="H256" s="48"/>
    </row>
    <row r="257" s="35" customFormat="1" ht="18.75">
      <c r="H257" s="48"/>
    </row>
    <row r="258" s="35" customFormat="1" ht="18.75">
      <c r="H258" s="48"/>
    </row>
    <row r="259" s="35" customFormat="1" ht="18.75">
      <c r="H259" s="48"/>
    </row>
    <row r="260" s="35" customFormat="1" ht="18.75">
      <c r="H260" s="48"/>
    </row>
    <row r="261" s="35" customFormat="1" ht="18.75">
      <c r="H261" s="48"/>
    </row>
    <row r="262" s="35" customFormat="1" ht="18.75">
      <c r="H262" s="48"/>
    </row>
    <row r="263" s="35" customFormat="1" ht="18.75">
      <c r="H263" s="48"/>
    </row>
    <row r="264" s="35" customFormat="1" ht="18.75">
      <c r="H264" s="48"/>
    </row>
    <row r="265" s="35" customFormat="1" ht="18.75">
      <c r="H265" s="48"/>
    </row>
    <row r="266" s="35" customFormat="1" ht="18.75">
      <c r="H266" s="48"/>
    </row>
    <row r="267" s="35" customFormat="1" ht="18.75">
      <c r="H267" s="48"/>
    </row>
    <row r="268" s="35" customFormat="1" ht="18.75">
      <c r="H268" s="48"/>
    </row>
    <row r="269" s="35" customFormat="1" ht="18.75">
      <c r="H269" s="48"/>
    </row>
    <row r="270" s="35" customFormat="1" ht="18.75">
      <c r="H270" s="48"/>
    </row>
    <row r="271" s="35" customFormat="1" ht="18.75">
      <c r="H271" s="48"/>
    </row>
    <row r="272" s="35" customFormat="1" ht="18.75">
      <c r="H272" s="48"/>
    </row>
    <row r="273" s="35" customFormat="1" ht="18.75">
      <c r="H273" s="48"/>
    </row>
    <row r="274" s="35" customFormat="1" ht="18.75">
      <c r="H274" s="48"/>
    </row>
    <row r="275" s="35" customFormat="1" ht="18.75">
      <c r="H275" s="48"/>
    </row>
    <row r="276" s="35" customFormat="1" ht="18.75">
      <c r="H276" s="48"/>
    </row>
    <row r="277" s="35" customFormat="1" ht="18.75">
      <c r="H277" s="48"/>
    </row>
    <row r="278" s="35" customFormat="1" ht="18.75">
      <c r="H278" s="48"/>
    </row>
    <row r="279" s="35" customFormat="1" ht="18.75">
      <c r="H279" s="48"/>
    </row>
    <row r="280" s="35" customFormat="1" ht="18.75">
      <c r="H280" s="48"/>
    </row>
    <row r="281" s="35" customFormat="1" ht="18.75">
      <c r="H281" s="48"/>
    </row>
    <row r="282" s="35" customFormat="1" ht="18.75">
      <c r="H282" s="48"/>
    </row>
    <row r="283" s="35" customFormat="1" ht="18.75">
      <c r="H283" s="48"/>
    </row>
    <row r="284" s="35" customFormat="1" ht="18.75">
      <c r="H284" s="48"/>
    </row>
    <row r="285" s="35" customFormat="1" ht="18.75">
      <c r="H285" s="48"/>
    </row>
    <row r="286" s="35" customFormat="1" ht="18.75">
      <c r="H286" s="48"/>
    </row>
    <row r="287" s="35" customFormat="1" ht="18.75">
      <c r="H287" s="48"/>
    </row>
    <row r="288" s="35" customFormat="1" ht="18.75">
      <c r="H288" s="48"/>
    </row>
    <row r="289" s="35" customFormat="1" ht="18.75">
      <c r="H289" s="48"/>
    </row>
    <row r="290" s="35" customFormat="1" ht="18.75">
      <c r="H290" s="48"/>
    </row>
    <row r="291" s="35" customFormat="1" ht="18.75">
      <c r="H291" s="48"/>
    </row>
    <row r="292" s="35" customFormat="1" ht="18.75">
      <c r="H292" s="48"/>
    </row>
    <row r="293" s="35" customFormat="1" ht="18.75">
      <c r="H293" s="48"/>
    </row>
    <row r="294" s="35" customFormat="1" ht="18.75">
      <c r="H294" s="48"/>
    </row>
    <row r="295" s="35" customFormat="1" ht="18.75">
      <c r="H295" s="48"/>
    </row>
    <row r="296" s="35" customFormat="1" ht="18.75">
      <c r="H296" s="48"/>
    </row>
    <row r="297" s="35" customFormat="1" ht="18.75">
      <c r="H297" s="48"/>
    </row>
    <row r="298" s="35" customFormat="1" ht="18.75">
      <c r="H298" s="48"/>
    </row>
    <row r="299" s="35" customFormat="1" ht="18.75">
      <c r="H299" s="48"/>
    </row>
    <row r="300" s="35" customFormat="1" ht="18.75">
      <c r="H300" s="48"/>
    </row>
    <row r="301" s="35" customFormat="1" ht="18.75">
      <c r="H301" s="48"/>
    </row>
    <row r="302" s="35" customFormat="1" ht="18.75">
      <c r="H302" s="48"/>
    </row>
    <row r="303" s="35" customFormat="1" ht="18.75">
      <c r="H303" s="48"/>
    </row>
    <row r="304" s="35" customFormat="1" ht="18.75">
      <c r="H304" s="48"/>
    </row>
    <row r="305" s="35" customFormat="1" ht="18.75">
      <c r="H305" s="48"/>
    </row>
    <row r="306" s="35" customFormat="1" ht="18.75">
      <c r="H306" s="48"/>
    </row>
    <row r="307" s="35" customFormat="1" ht="18.75">
      <c r="H307" s="48"/>
    </row>
    <row r="308" s="35" customFormat="1" ht="18.75">
      <c r="H308" s="48"/>
    </row>
    <row r="309" s="35" customFormat="1" ht="18.75">
      <c r="H309" s="48"/>
    </row>
    <row r="310" s="35" customFormat="1" ht="18.75">
      <c r="H310" s="48"/>
    </row>
    <row r="311" s="35" customFormat="1" ht="18.75">
      <c r="H311" s="48"/>
    </row>
    <row r="312" s="35" customFormat="1" ht="18.75">
      <c r="H312" s="48"/>
    </row>
    <row r="313" s="35" customFormat="1" ht="18.75">
      <c r="H313" s="48"/>
    </row>
    <row r="314" s="35" customFormat="1" ht="18.75">
      <c r="H314" s="48"/>
    </row>
    <row r="315" s="35" customFormat="1" ht="18.75">
      <c r="H315" s="48"/>
    </row>
    <row r="316" s="35" customFormat="1" ht="18.75">
      <c r="H316" s="48"/>
    </row>
    <row r="317" s="35" customFormat="1" ht="18.75">
      <c r="H317" s="48"/>
    </row>
    <row r="318" s="35" customFormat="1" ht="18.75">
      <c r="H318" s="48"/>
    </row>
    <row r="319" s="35" customFormat="1" ht="18.75">
      <c r="H319" s="48"/>
    </row>
    <row r="320" s="35" customFormat="1" ht="18.75">
      <c r="H320" s="48"/>
    </row>
    <row r="321" s="35" customFormat="1" ht="18.75">
      <c r="H321" s="48"/>
    </row>
    <row r="322" s="35" customFormat="1" ht="18.75">
      <c r="H322" s="48"/>
    </row>
    <row r="323" s="35" customFormat="1" ht="18.75">
      <c r="H323" s="48"/>
    </row>
    <row r="324" s="35" customFormat="1" ht="18.75">
      <c r="H324" s="48"/>
    </row>
    <row r="325" s="35" customFormat="1" ht="18.75">
      <c r="H325" s="48"/>
    </row>
    <row r="326" s="35" customFormat="1" ht="18.75">
      <c r="H326" s="48"/>
    </row>
    <row r="327" s="35" customFormat="1" ht="18.75">
      <c r="H327" s="48"/>
    </row>
    <row r="328" s="35" customFormat="1" ht="18.75">
      <c r="H328" s="48"/>
    </row>
    <row r="329" s="35" customFormat="1" ht="18.75">
      <c r="H329" s="48"/>
    </row>
    <row r="330" s="35" customFormat="1" ht="18.75">
      <c r="H330" s="48"/>
    </row>
    <row r="331" s="35" customFormat="1" ht="18.75">
      <c r="H331" s="48"/>
    </row>
    <row r="332" s="35" customFormat="1" ht="18.75">
      <c r="H332" s="48"/>
    </row>
    <row r="333" s="35" customFormat="1" ht="18.75">
      <c r="H333" s="48"/>
    </row>
    <row r="334" s="35" customFormat="1" ht="18.75">
      <c r="H334" s="48"/>
    </row>
    <row r="335" s="35" customFormat="1" ht="18.75">
      <c r="H335" s="48"/>
    </row>
    <row r="336" s="35" customFormat="1" ht="18.75">
      <c r="H336" s="48"/>
    </row>
    <row r="337" s="35" customFormat="1" ht="18.75">
      <c r="H337" s="48"/>
    </row>
    <row r="338" s="35" customFormat="1" ht="18.75">
      <c r="H338" s="48"/>
    </row>
    <row r="339" s="35" customFormat="1" ht="18.75">
      <c r="H339" s="48"/>
    </row>
    <row r="340" s="35" customFormat="1" ht="18.75">
      <c r="H340" s="48"/>
    </row>
    <row r="341" s="35" customFormat="1" ht="18.75">
      <c r="H341" s="48"/>
    </row>
    <row r="342" s="35" customFormat="1" ht="18.75">
      <c r="H342" s="48"/>
    </row>
    <row r="343" s="35" customFormat="1" ht="18.75">
      <c r="H343" s="48"/>
    </row>
    <row r="344" s="35" customFormat="1" ht="18.75">
      <c r="H344" s="48"/>
    </row>
    <row r="345" s="35" customFormat="1" ht="18.75">
      <c r="H345" s="48"/>
    </row>
    <row r="346" s="35" customFormat="1" ht="18.75">
      <c r="H346" s="48"/>
    </row>
    <row r="347" s="35" customFormat="1" ht="18.75">
      <c r="H347" s="48"/>
    </row>
    <row r="348" s="35" customFormat="1" ht="18.75">
      <c r="H348" s="48"/>
    </row>
    <row r="349" s="35" customFormat="1" ht="18.75">
      <c r="H349" s="48"/>
    </row>
    <row r="350" s="35" customFormat="1" ht="18.75">
      <c r="H350" s="48"/>
    </row>
    <row r="351" s="35" customFormat="1" ht="18.75">
      <c r="H351" s="48"/>
    </row>
    <row r="352" s="35" customFormat="1" ht="18.75">
      <c r="H352" s="48"/>
    </row>
    <row r="353" s="35" customFormat="1" ht="18.75">
      <c r="H353" s="48"/>
    </row>
    <row r="354" s="35" customFormat="1" ht="18.75">
      <c r="H354" s="48"/>
    </row>
    <row r="355" s="35" customFormat="1" ht="18.75">
      <c r="H355" s="48"/>
    </row>
    <row r="356" s="35" customFormat="1" ht="18.75">
      <c r="H356" s="48"/>
    </row>
    <row r="357" s="35" customFormat="1" ht="18.75">
      <c r="H357" s="48"/>
    </row>
    <row r="358" s="35" customFormat="1" ht="18.75">
      <c r="H358" s="48"/>
    </row>
    <row r="359" s="35" customFormat="1" ht="18.75">
      <c r="H359" s="48"/>
    </row>
    <row r="360" s="35" customFormat="1" ht="18.75">
      <c r="H360" s="48"/>
    </row>
    <row r="361" s="35" customFormat="1" ht="18.75">
      <c r="H361" s="48"/>
    </row>
    <row r="362" s="35" customFormat="1" ht="18.75">
      <c r="H362" s="48"/>
    </row>
    <row r="363" s="35" customFormat="1" ht="18.75">
      <c r="H363" s="48"/>
    </row>
    <row r="364" s="35" customFormat="1" ht="18.75">
      <c r="H364" s="48"/>
    </row>
    <row r="365" s="35" customFormat="1" ht="18.75">
      <c r="H365" s="48"/>
    </row>
    <row r="366" s="35" customFormat="1" ht="18.75">
      <c r="H366" s="48"/>
    </row>
    <row r="367" s="35" customFormat="1" ht="18.75">
      <c r="H367" s="48"/>
    </row>
    <row r="368" s="35" customFormat="1" ht="18.75">
      <c r="H368" s="48"/>
    </row>
    <row r="369" s="35" customFormat="1" ht="18.75">
      <c r="H369" s="48"/>
    </row>
    <row r="370" s="35" customFormat="1" ht="18.75">
      <c r="H370" s="48"/>
    </row>
    <row r="371" s="35" customFormat="1" ht="18.75">
      <c r="H371" s="48"/>
    </row>
    <row r="372" s="35" customFormat="1" ht="18.75">
      <c r="H372" s="48"/>
    </row>
    <row r="373" s="35" customFormat="1" ht="18.75">
      <c r="H373" s="48"/>
    </row>
    <row r="374" s="35" customFormat="1" ht="18.75">
      <c r="H374" s="48"/>
    </row>
    <row r="375" s="35" customFormat="1" ht="18.75">
      <c r="H375" s="48"/>
    </row>
    <row r="376" s="35" customFormat="1" ht="18.75">
      <c r="H376" s="48"/>
    </row>
    <row r="377" s="35" customFormat="1" ht="18.75">
      <c r="H377" s="48"/>
    </row>
    <row r="378" s="35" customFormat="1" ht="18.75">
      <c r="H378" s="48"/>
    </row>
    <row r="379" s="35" customFormat="1" ht="18.75">
      <c r="H379" s="48"/>
    </row>
    <row r="380" s="35" customFormat="1" ht="18.75">
      <c r="H380" s="48"/>
    </row>
    <row r="381" s="35" customFormat="1" ht="18.75">
      <c r="H381" s="48"/>
    </row>
    <row r="382" s="35" customFormat="1" ht="18.75">
      <c r="H382" s="48"/>
    </row>
    <row r="383" s="35" customFormat="1" ht="18.75">
      <c r="H383" s="48"/>
    </row>
    <row r="384" s="35" customFormat="1" ht="18.75">
      <c r="H384" s="48"/>
    </row>
    <row r="385" s="35" customFormat="1" ht="18.75">
      <c r="H385" s="48"/>
    </row>
    <row r="386" s="35" customFormat="1" ht="18.75">
      <c r="H386" s="48"/>
    </row>
    <row r="387" s="35" customFormat="1" ht="18.75">
      <c r="H387" s="48"/>
    </row>
    <row r="388" s="35" customFormat="1" ht="18.75">
      <c r="H388" s="48"/>
    </row>
    <row r="389" s="35" customFormat="1" ht="18.75">
      <c r="H389" s="48"/>
    </row>
    <row r="390" s="35" customFormat="1" ht="18.75">
      <c r="H390" s="48"/>
    </row>
    <row r="391" s="35" customFormat="1" ht="18.75">
      <c r="H391" s="48"/>
    </row>
    <row r="392" s="35" customFormat="1" ht="18.75">
      <c r="H392" s="48"/>
    </row>
    <row r="393" s="35" customFormat="1" ht="18.75">
      <c r="H393" s="48"/>
    </row>
    <row r="394" s="35" customFormat="1" ht="18.75">
      <c r="H394" s="48"/>
    </row>
    <row r="395" s="35" customFormat="1" ht="18.75">
      <c r="H395" s="48"/>
    </row>
    <row r="396" s="35" customFormat="1" ht="18.75">
      <c r="H396" s="48"/>
    </row>
    <row r="397" s="35" customFormat="1" ht="18.75">
      <c r="H397" s="48"/>
    </row>
    <row r="398" s="35" customFormat="1" ht="18.75">
      <c r="H398" s="48"/>
    </row>
    <row r="399" s="35" customFormat="1" ht="18.75">
      <c r="H399" s="48"/>
    </row>
    <row r="400" s="35" customFormat="1" ht="18.75">
      <c r="H400" s="48"/>
    </row>
    <row r="401" s="35" customFormat="1" ht="18.75">
      <c r="H401" s="48"/>
    </row>
    <row r="402" s="35" customFormat="1" ht="18.75">
      <c r="H402" s="48"/>
    </row>
    <row r="403" s="35" customFormat="1" ht="18.75">
      <c r="H403" s="48"/>
    </row>
    <row r="404" s="35" customFormat="1" ht="18.75">
      <c r="H404" s="48"/>
    </row>
    <row r="405" s="35" customFormat="1" ht="18.75">
      <c r="H405" s="48"/>
    </row>
    <row r="406" s="35" customFormat="1" ht="18.75">
      <c r="H406" s="48"/>
    </row>
    <row r="407" s="35" customFormat="1" ht="18.75">
      <c r="H407" s="48"/>
    </row>
    <row r="408" s="35" customFormat="1" ht="18.75">
      <c r="H408" s="48"/>
    </row>
    <row r="409" s="35" customFormat="1" ht="18.75">
      <c r="H409" s="48"/>
    </row>
    <row r="410" s="35" customFormat="1" ht="18.75">
      <c r="H410" s="48"/>
    </row>
    <row r="411" s="35" customFormat="1" ht="18.75">
      <c r="H411" s="48"/>
    </row>
    <row r="412" s="35" customFormat="1" ht="18.75">
      <c r="H412" s="48"/>
    </row>
    <row r="413" s="35" customFormat="1" ht="18.75">
      <c r="H413" s="48"/>
    </row>
    <row r="414" s="35" customFormat="1" ht="18.75">
      <c r="H414" s="48"/>
    </row>
    <row r="415" s="35" customFormat="1" ht="18.75">
      <c r="H415" s="48"/>
    </row>
    <row r="416" s="35" customFormat="1" ht="18.75">
      <c r="H416" s="48"/>
    </row>
    <row r="417" s="35" customFormat="1" ht="18.75">
      <c r="H417" s="48"/>
    </row>
    <row r="418" s="35" customFormat="1" ht="18.75">
      <c r="H418" s="48"/>
    </row>
    <row r="419" s="35" customFormat="1" ht="18.75">
      <c r="H419" s="48"/>
    </row>
    <row r="420" s="35" customFormat="1" ht="18.75">
      <c r="H420" s="48"/>
    </row>
    <row r="421" s="35" customFormat="1" ht="18.75">
      <c r="H421" s="48"/>
    </row>
    <row r="422" s="35" customFormat="1" ht="18.75">
      <c r="H422" s="48"/>
    </row>
    <row r="423" s="35" customFormat="1" ht="18.75">
      <c r="H423" s="48"/>
    </row>
    <row r="424" s="35" customFormat="1" ht="18.75">
      <c r="H424" s="48"/>
    </row>
    <row r="425" s="35" customFormat="1" ht="18.75">
      <c r="H425" s="48"/>
    </row>
    <row r="426" s="35" customFormat="1" ht="18.75">
      <c r="H426" s="48"/>
    </row>
    <row r="427" s="35" customFormat="1" ht="18.75">
      <c r="H427" s="48"/>
    </row>
    <row r="428" s="35" customFormat="1" ht="18.75">
      <c r="H428" s="48"/>
    </row>
    <row r="429" s="35" customFormat="1" ht="18.75">
      <c r="H429" s="48"/>
    </row>
    <row r="430" s="35" customFormat="1" ht="18.75">
      <c r="H430" s="48"/>
    </row>
    <row r="431" s="35" customFormat="1" ht="18.75">
      <c r="H431" s="48"/>
    </row>
    <row r="432" s="35" customFormat="1" ht="18.75">
      <c r="H432" s="48"/>
    </row>
    <row r="433" s="35" customFormat="1" ht="18.75">
      <c r="H433" s="48"/>
    </row>
    <row r="434" s="35" customFormat="1" ht="18.75">
      <c r="H434" s="48"/>
    </row>
    <row r="435" s="35" customFormat="1" ht="18.75">
      <c r="H435" s="48"/>
    </row>
    <row r="436" s="35" customFormat="1" ht="18.75">
      <c r="H436" s="48"/>
    </row>
    <row r="437" s="35" customFormat="1" ht="18.75">
      <c r="H437" s="48"/>
    </row>
    <row r="438" s="35" customFormat="1" ht="18.75">
      <c r="H438" s="48"/>
    </row>
    <row r="439" s="35" customFormat="1" ht="18.75">
      <c r="H439" s="48"/>
    </row>
    <row r="440" s="35" customFormat="1" ht="18.75">
      <c r="H440" s="48"/>
    </row>
    <row r="441" s="35" customFormat="1" ht="18.75">
      <c r="H441" s="48"/>
    </row>
    <row r="442" s="35" customFormat="1" ht="18.75">
      <c r="H442" s="48"/>
    </row>
    <row r="443" s="35" customFormat="1" ht="18.75">
      <c r="H443" s="48"/>
    </row>
    <row r="444" s="35" customFormat="1" ht="18.75">
      <c r="H444" s="48"/>
    </row>
    <row r="445" s="35" customFormat="1" ht="18.75">
      <c r="H445" s="48"/>
    </row>
    <row r="446" s="35" customFormat="1" ht="18.75">
      <c r="H446" s="48"/>
    </row>
    <row r="447" s="35" customFormat="1" ht="18.75">
      <c r="H447" s="48"/>
    </row>
    <row r="448" s="35" customFormat="1" ht="18.75">
      <c r="H448" s="48"/>
    </row>
    <row r="449" s="35" customFormat="1" ht="18.75">
      <c r="H449" s="48"/>
    </row>
    <row r="450" s="35" customFormat="1" ht="18.75">
      <c r="H450" s="48"/>
    </row>
    <row r="451" s="35" customFormat="1" ht="18.75">
      <c r="H451" s="48"/>
    </row>
    <row r="452" s="35" customFormat="1" ht="18.75">
      <c r="H452" s="48"/>
    </row>
    <row r="453" s="35" customFormat="1" ht="18.75">
      <c r="H453" s="48"/>
    </row>
    <row r="454" s="35" customFormat="1" ht="18.75">
      <c r="H454" s="48"/>
    </row>
    <row r="455" s="35" customFormat="1" ht="18.75">
      <c r="H455" s="48"/>
    </row>
    <row r="456" s="35" customFormat="1" ht="18.75">
      <c r="H456" s="48"/>
    </row>
    <row r="457" s="35" customFormat="1" ht="18.75">
      <c r="H457" s="48"/>
    </row>
    <row r="458" s="35" customFormat="1" ht="18.75">
      <c r="H458" s="48"/>
    </row>
    <row r="459" s="35" customFormat="1" ht="18.75">
      <c r="H459" s="48"/>
    </row>
    <row r="460" s="35" customFormat="1" ht="18.75">
      <c r="H460" s="48"/>
    </row>
    <row r="461" s="35" customFormat="1" ht="18.75">
      <c r="H461" s="48"/>
    </row>
    <row r="462" s="35" customFormat="1" ht="18.75">
      <c r="H462" s="48"/>
    </row>
    <row r="463" s="35" customFormat="1" ht="18.75">
      <c r="H463" s="48"/>
    </row>
    <row r="464" s="35" customFormat="1" ht="18.75">
      <c r="H464" s="48"/>
    </row>
    <row r="465" s="35" customFormat="1" ht="18.75">
      <c r="H465" s="48"/>
    </row>
    <row r="466" s="35" customFormat="1" ht="18.75">
      <c r="H466" s="48"/>
    </row>
    <row r="467" s="35" customFormat="1" ht="18.75">
      <c r="H467" s="48"/>
    </row>
    <row r="468" s="35" customFormat="1" ht="18.75">
      <c r="H468" s="48"/>
    </row>
    <row r="469" s="35" customFormat="1" ht="18.75">
      <c r="H469" s="48"/>
    </row>
    <row r="470" s="35" customFormat="1" ht="18.75">
      <c r="H470" s="48"/>
    </row>
    <row r="471" s="35" customFormat="1" ht="18.75">
      <c r="H471" s="48"/>
    </row>
    <row r="472" s="35" customFormat="1" ht="18.75">
      <c r="H472" s="48"/>
    </row>
    <row r="473" s="35" customFormat="1" ht="18.75">
      <c r="H473" s="48"/>
    </row>
    <row r="474" s="35" customFormat="1" ht="18.75">
      <c r="H474" s="48"/>
    </row>
    <row r="475" s="35" customFormat="1" ht="18.75">
      <c r="H475" s="48"/>
    </row>
    <row r="476" s="35" customFormat="1" ht="18.75">
      <c r="H476" s="48"/>
    </row>
    <row r="477" s="35" customFormat="1" ht="18.75">
      <c r="H477" s="48"/>
    </row>
    <row r="478" s="35" customFormat="1" ht="18.75">
      <c r="H478" s="48"/>
    </row>
    <row r="479" s="35" customFormat="1" ht="18.75">
      <c r="H479" s="48"/>
    </row>
    <row r="480" s="35" customFormat="1" ht="18.75">
      <c r="H480" s="48"/>
    </row>
    <row r="481" s="35" customFormat="1" ht="18.75">
      <c r="H481" s="48"/>
    </row>
    <row r="482" s="35" customFormat="1" ht="18.75">
      <c r="H482" s="48"/>
    </row>
    <row r="483" s="35" customFormat="1" ht="18.75">
      <c r="H483" s="48"/>
    </row>
    <row r="484" s="35" customFormat="1" ht="18.75">
      <c r="H484" s="48"/>
    </row>
    <row r="485" s="35" customFormat="1" ht="18.75">
      <c r="H485" s="48"/>
    </row>
    <row r="486" s="35" customFormat="1" ht="18.75">
      <c r="H486" s="48"/>
    </row>
    <row r="487" s="35" customFormat="1" ht="18.75">
      <c r="H487" s="48"/>
    </row>
    <row r="488" s="35" customFormat="1" ht="18.75">
      <c r="H488" s="48"/>
    </row>
    <row r="489" s="35" customFormat="1" ht="18.75">
      <c r="H489" s="48"/>
    </row>
    <row r="490" s="35" customFormat="1" ht="18.75">
      <c r="H490" s="48"/>
    </row>
    <row r="491" s="35" customFormat="1" ht="18.75">
      <c r="H491" s="48"/>
    </row>
    <row r="492" s="35" customFormat="1" ht="18.75">
      <c r="H492" s="48"/>
    </row>
    <row r="493" s="35" customFormat="1" ht="18.75">
      <c r="H493" s="48"/>
    </row>
    <row r="494" s="35" customFormat="1" ht="18.75">
      <c r="H494" s="48"/>
    </row>
    <row r="495" s="35" customFormat="1" ht="18.75">
      <c r="H495" s="48"/>
    </row>
    <row r="496" s="35" customFormat="1" ht="18.75">
      <c r="H496" s="48"/>
    </row>
    <row r="497" s="35" customFormat="1" ht="18.75">
      <c r="H497" s="48"/>
    </row>
    <row r="498" s="35" customFormat="1" ht="18.75">
      <c r="H498" s="48"/>
    </row>
  </sheetData>
  <sheetProtection/>
  <mergeCells count="3">
    <mergeCell ref="A1:G1"/>
    <mergeCell ref="A2:I2"/>
    <mergeCell ref="A4:G4"/>
  </mergeCells>
  <printOptions horizontalCentered="1"/>
  <pageMargins left="0.7868055555555555" right="0.39305555555555555" top="0.4326388888888889" bottom="0.7868055555555555" header="0.39305555555555555" footer="0.5111111111111111"/>
  <pageSetup firstPageNumber="11" useFirstPageNumber="1" horizontalDpi="600" verticalDpi="600" orientation="landscape" paperSize="9"/>
  <headerFooter scaleWithDoc="0" alignWithMargins="0">
    <oddFooter>&amp;C&amp;"Times New Roman,常规"—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38"/>
  <sheetViews>
    <sheetView showGridLines="0" workbookViewId="0" topLeftCell="A1">
      <pane xSplit="1" ySplit="5" topLeftCell="B6" activePane="bottomRight" state="frozen"/>
      <selection pane="bottomRight" activeCell="K17" sqref="K17"/>
    </sheetView>
  </sheetViews>
  <sheetFormatPr defaultColWidth="9.00390625" defaultRowHeight="14.25"/>
  <cols>
    <col min="1" max="1" width="34.875" style="6" customWidth="1"/>
    <col min="2" max="3" width="14.25390625" style="6" hidden="1" customWidth="1"/>
    <col min="4" max="6" width="14.25390625" style="6" customWidth="1"/>
    <col min="7" max="8" width="19.00390625" style="7" customWidth="1"/>
    <col min="9" max="9" width="14.25390625" style="6" customWidth="1"/>
    <col min="10" max="11" width="9.00390625" style="6" customWidth="1"/>
    <col min="12" max="12" width="9.00390625" style="6" hidden="1" customWidth="1"/>
    <col min="13" max="16384" width="9.00390625" style="6" customWidth="1"/>
  </cols>
  <sheetData>
    <row r="1" ht="17.25" customHeight="1">
      <c r="A1" s="8" t="s">
        <v>244</v>
      </c>
    </row>
    <row r="2" spans="1:9" ht="23.25" customHeight="1">
      <c r="A2" s="9" t="s">
        <v>245</v>
      </c>
      <c r="B2" s="9"/>
      <c r="C2" s="9"/>
      <c r="D2" s="9"/>
      <c r="E2" s="9"/>
      <c r="F2" s="9"/>
      <c r="G2" s="9"/>
      <c r="H2" s="9"/>
      <c r="I2" s="9"/>
    </row>
    <row r="3" spans="1:9" ht="11.25" customHeight="1" hidden="1">
      <c r="A3" s="10"/>
      <c r="B3" s="10"/>
      <c r="C3" s="10"/>
      <c r="D3" s="10"/>
      <c r="E3" s="10"/>
      <c r="F3" s="10"/>
      <c r="G3" s="11"/>
      <c r="H3" s="11"/>
      <c r="I3" s="10"/>
    </row>
    <row r="4" spans="1:9" s="1" customFormat="1" ht="19.5" customHeight="1">
      <c r="A4" s="12" t="s">
        <v>89</v>
      </c>
      <c r="B4" s="13"/>
      <c r="C4" s="13"/>
      <c r="D4" s="13"/>
      <c r="E4" s="13"/>
      <c r="F4" s="13"/>
      <c r="G4" s="14"/>
      <c r="H4" s="14"/>
      <c r="I4" s="30" t="s">
        <v>90</v>
      </c>
    </row>
    <row r="5" spans="1:9" s="2" customFormat="1" ht="16.5" customHeight="1">
      <c r="A5" s="15" t="s">
        <v>91</v>
      </c>
      <c r="B5" s="16" t="s">
        <v>92</v>
      </c>
      <c r="C5" s="16" t="s">
        <v>93</v>
      </c>
      <c r="D5" s="16" t="s">
        <v>94</v>
      </c>
      <c r="E5" s="16" t="s">
        <v>95</v>
      </c>
      <c r="F5" s="16" t="s">
        <v>96</v>
      </c>
      <c r="G5" s="17" t="s">
        <v>246</v>
      </c>
      <c r="H5" s="17" t="s">
        <v>247</v>
      </c>
      <c r="I5" s="15" t="s">
        <v>99</v>
      </c>
    </row>
    <row r="6" spans="1:9" s="3" customFormat="1" ht="16.5" customHeight="1" hidden="1">
      <c r="A6" s="18" t="s">
        <v>248</v>
      </c>
      <c r="B6" s="19">
        <v>0</v>
      </c>
      <c r="C6" s="19">
        <v>0</v>
      </c>
      <c r="D6" s="19">
        <v>0</v>
      </c>
      <c r="E6" s="19"/>
      <c r="F6" s="19"/>
      <c r="G6" s="19"/>
      <c r="H6" s="19"/>
      <c r="I6" s="31"/>
    </row>
    <row r="7" spans="1:12" s="4" customFormat="1" ht="16.5" customHeight="1" hidden="1">
      <c r="A7" s="20" t="s">
        <v>249</v>
      </c>
      <c r="B7" s="19">
        <v>0</v>
      </c>
      <c r="C7" s="19">
        <v>0</v>
      </c>
      <c r="D7" s="19">
        <v>0</v>
      </c>
      <c r="E7" s="19"/>
      <c r="F7" s="19"/>
      <c r="G7" s="19"/>
      <c r="H7" s="19"/>
      <c r="I7" s="32"/>
      <c r="L7" s="33">
        <v>172000</v>
      </c>
    </row>
    <row r="8" spans="1:9" s="3" customFormat="1" ht="16.5" customHeight="1" hidden="1">
      <c r="A8" s="18" t="s">
        <v>250</v>
      </c>
      <c r="B8" s="19">
        <v>0</v>
      </c>
      <c r="C8" s="19">
        <v>0</v>
      </c>
      <c r="D8" s="19">
        <v>0</v>
      </c>
      <c r="E8" s="19"/>
      <c r="F8" s="19"/>
      <c r="G8" s="19"/>
      <c r="H8" s="19"/>
      <c r="I8" s="31"/>
    </row>
    <row r="9" spans="1:12" s="4" customFormat="1" ht="16.5" customHeight="1" hidden="1">
      <c r="A9" s="20" t="s">
        <v>251</v>
      </c>
      <c r="B9" s="19">
        <v>0</v>
      </c>
      <c r="C9" s="19">
        <v>0</v>
      </c>
      <c r="D9" s="19">
        <v>0</v>
      </c>
      <c r="E9" s="19"/>
      <c r="F9" s="19"/>
      <c r="G9" s="19"/>
      <c r="H9" s="19"/>
      <c r="I9" s="32"/>
      <c r="L9" s="33">
        <v>30800</v>
      </c>
    </row>
    <row r="10" spans="1:9" s="3" customFormat="1" ht="16.5" customHeight="1">
      <c r="A10" s="21" t="s">
        <v>252</v>
      </c>
      <c r="B10" s="22">
        <v>19.86</v>
      </c>
      <c r="C10" s="22">
        <v>19.86</v>
      </c>
      <c r="D10" s="22">
        <v>14.9</v>
      </c>
      <c r="E10" s="22">
        <v>24.83</v>
      </c>
      <c r="F10" s="22">
        <v>19.86</v>
      </c>
      <c r="G10" s="23">
        <f>F10/D10-1</f>
        <v>0.33288590604026846</v>
      </c>
      <c r="H10" s="23">
        <f>F10/E10-1</f>
        <v>-0.20016109544905358</v>
      </c>
      <c r="I10" s="31"/>
    </row>
    <row r="11" spans="1:12" s="4" customFormat="1" ht="16.5" customHeight="1">
      <c r="A11" s="24" t="s">
        <v>253</v>
      </c>
      <c r="B11" s="25">
        <v>19.86</v>
      </c>
      <c r="C11" s="25">
        <v>19.86</v>
      </c>
      <c r="D11" s="25">
        <v>14.9</v>
      </c>
      <c r="E11" s="25">
        <v>24.83</v>
      </c>
      <c r="F11" s="25">
        <v>19.86</v>
      </c>
      <c r="G11" s="26">
        <f aca="true" t="shared" si="0" ref="G11:G37">F11/D11-1</f>
        <v>0.33288590604026846</v>
      </c>
      <c r="H11" s="26">
        <f aca="true" t="shared" si="1" ref="H11:H37">F11/E11-1</f>
        <v>-0.20016109544905358</v>
      </c>
      <c r="I11" s="32"/>
      <c r="L11" s="33">
        <v>198600</v>
      </c>
    </row>
    <row r="12" spans="1:9" s="3" customFormat="1" ht="16.5" customHeight="1" hidden="1">
      <c r="A12" s="21" t="s">
        <v>254</v>
      </c>
      <c r="B12" s="19">
        <v>0</v>
      </c>
      <c r="C12" s="19">
        <v>0</v>
      </c>
      <c r="D12" s="19">
        <v>0</v>
      </c>
      <c r="E12" s="19"/>
      <c r="F12" s="19"/>
      <c r="G12" s="23" t="e">
        <f t="shared" si="0"/>
        <v>#DIV/0!</v>
      </c>
      <c r="H12" s="23" t="e">
        <f t="shared" si="1"/>
        <v>#DIV/0!</v>
      </c>
      <c r="I12" s="31"/>
    </row>
    <row r="13" spans="1:9" s="4" customFormat="1" ht="16.5" customHeight="1" hidden="1">
      <c r="A13" s="24" t="s">
        <v>255</v>
      </c>
      <c r="B13" s="19">
        <v>0</v>
      </c>
      <c r="C13" s="19">
        <v>0</v>
      </c>
      <c r="D13" s="19">
        <v>0</v>
      </c>
      <c r="E13" s="19"/>
      <c r="F13" s="19"/>
      <c r="G13" s="23" t="e">
        <f t="shared" si="0"/>
        <v>#DIV/0!</v>
      </c>
      <c r="H13" s="23" t="e">
        <f t="shared" si="1"/>
        <v>#DIV/0!</v>
      </c>
      <c r="I13" s="32"/>
    </row>
    <row r="14" spans="1:9" s="3" customFormat="1" ht="16.5" customHeight="1">
      <c r="A14" s="21" t="s">
        <v>256</v>
      </c>
      <c r="B14" s="22">
        <v>9956.48</v>
      </c>
      <c r="C14" s="22">
        <v>2944.65</v>
      </c>
      <c r="D14" s="22">
        <v>5859.54</v>
      </c>
      <c r="E14" s="22">
        <v>4170.06</v>
      </c>
      <c r="F14" s="22">
        <f>SUM(F16:F22)</f>
        <v>11635.57</v>
      </c>
      <c r="G14" s="23">
        <f t="shared" si="0"/>
        <v>0.9857480280021982</v>
      </c>
      <c r="H14" s="23">
        <f t="shared" si="1"/>
        <v>1.7902644086655823</v>
      </c>
      <c r="I14" s="31"/>
    </row>
    <row r="15" spans="1:9" s="4" customFormat="1" ht="16.5" customHeight="1" hidden="1">
      <c r="A15" s="24" t="s">
        <v>257</v>
      </c>
      <c r="B15" s="19">
        <v>0</v>
      </c>
      <c r="C15" s="27">
        <v>5</v>
      </c>
      <c r="D15" s="19">
        <v>0</v>
      </c>
      <c r="E15" s="19">
        <v>0</v>
      </c>
      <c r="F15" s="19">
        <v>0</v>
      </c>
      <c r="G15" s="23" t="e">
        <f t="shared" si="0"/>
        <v>#DIV/0!</v>
      </c>
      <c r="H15" s="23" t="e">
        <f t="shared" si="1"/>
        <v>#DIV/0!</v>
      </c>
      <c r="I15" s="32"/>
    </row>
    <row r="16" spans="1:12" s="4" customFormat="1" ht="16.5" customHeight="1">
      <c r="A16" s="24" t="s">
        <v>258</v>
      </c>
      <c r="B16" s="27">
        <v>8467.07</v>
      </c>
      <c r="C16" s="27">
        <v>2016.42</v>
      </c>
      <c r="D16" s="27">
        <v>4668.82</v>
      </c>
      <c r="E16" s="27">
        <v>3341.57</v>
      </c>
      <c r="F16" s="27">
        <v>10632.83</v>
      </c>
      <c r="G16" s="26">
        <f t="shared" si="0"/>
        <v>1.277412708136103</v>
      </c>
      <c r="H16" s="26">
        <f t="shared" si="1"/>
        <v>2.181986311823484</v>
      </c>
      <c r="I16" s="32"/>
      <c r="L16" s="33">
        <v>81954238.03</v>
      </c>
    </row>
    <row r="17" spans="1:12" s="4" customFormat="1" ht="16.5" customHeight="1">
      <c r="A17" s="24" t="s">
        <v>259</v>
      </c>
      <c r="B17" s="27">
        <v>210.93</v>
      </c>
      <c r="C17" s="27">
        <v>183.25</v>
      </c>
      <c r="D17" s="27">
        <v>247.17</v>
      </c>
      <c r="E17" s="27">
        <v>220.55</v>
      </c>
      <c r="F17" s="27">
        <v>161.61</v>
      </c>
      <c r="G17" s="26">
        <f t="shared" si="0"/>
        <v>-0.3461585143828133</v>
      </c>
      <c r="H17" s="26">
        <f t="shared" si="1"/>
        <v>-0.26724098843799593</v>
      </c>
      <c r="I17" s="32"/>
      <c r="L17" s="33">
        <v>1938385.93</v>
      </c>
    </row>
    <row r="18" spans="1:12" s="4" customFormat="1" ht="16.5" customHeight="1" hidden="1">
      <c r="A18" s="24" t="s">
        <v>260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26" t="e">
        <f t="shared" si="0"/>
        <v>#DIV/0!</v>
      </c>
      <c r="H18" s="26" t="e">
        <f t="shared" si="1"/>
        <v>#DIV/0!</v>
      </c>
      <c r="I18" s="32"/>
      <c r="L18" s="33">
        <v>0</v>
      </c>
    </row>
    <row r="19" spans="1:12" s="4" customFormat="1" ht="16.5" customHeight="1">
      <c r="A19" s="24" t="s">
        <v>261</v>
      </c>
      <c r="B19" s="27">
        <v>120.98</v>
      </c>
      <c r="C19" s="27">
        <v>115.09</v>
      </c>
      <c r="D19" s="27">
        <v>573.57</v>
      </c>
      <c r="E19" s="27">
        <v>343.09</v>
      </c>
      <c r="F19" s="27">
        <v>200.16</v>
      </c>
      <c r="G19" s="26">
        <f t="shared" si="0"/>
        <v>-0.6510277734191119</v>
      </c>
      <c r="H19" s="26">
        <f t="shared" si="1"/>
        <v>-0.41659622839488175</v>
      </c>
      <c r="I19" s="32"/>
      <c r="L19" s="33">
        <v>3897178.21</v>
      </c>
    </row>
    <row r="20" spans="1:12" s="4" customFormat="1" ht="16.5" customHeight="1">
      <c r="A20" s="24" t="s">
        <v>262</v>
      </c>
      <c r="B20" s="27">
        <v>907.5</v>
      </c>
      <c r="C20" s="27">
        <v>624.38</v>
      </c>
      <c r="D20" s="27">
        <v>369.98</v>
      </c>
      <c r="E20" s="27">
        <v>264.85</v>
      </c>
      <c r="F20" s="27">
        <v>188.06</v>
      </c>
      <c r="G20" s="26">
        <f t="shared" si="0"/>
        <v>-0.4917022541759014</v>
      </c>
      <c r="H20" s="26">
        <f t="shared" si="1"/>
        <v>-0.28993770058523693</v>
      </c>
      <c r="I20" s="32"/>
      <c r="L20" s="33">
        <v>334990</v>
      </c>
    </row>
    <row r="21" spans="1:12" s="4" customFormat="1" ht="16.5" customHeight="1" hidden="1">
      <c r="A21" s="24" t="s">
        <v>263</v>
      </c>
      <c r="B21" s="25">
        <v>250</v>
      </c>
      <c r="C21" s="25">
        <v>0.51</v>
      </c>
      <c r="D21" s="19">
        <v>0</v>
      </c>
      <c r="E21" s="19">
        <v>0</v>
      </c>
      <c r="F21" s="19">
        <v>0</v>
      </c>
      <c r="G21" s="23" t="e">
        <f t="shared" si="0"/>
        <v>#DIV/0!</v>
      </c>
      <c r="H21" s="23" t="e">
        <f t="shared" si="1"/>
        <v>#DIV/0!</v>
      </c>
      <c r="I21" s="32"/>
      <c r="L21" s="34"/>
    </row>
    <row r="22" spans="1:12" s="4" customFormat="1" ht="16.5" customHeight="1">
      <c r="A22" s="24" t="s">
        <v>264</v>
      </c>
      <c r="B22" s="25"/>
      <c r="C22" s="25"/>
      <c r="D22" s="19">
        <v>0</v>
      </c>
      <c r="E22" s="19">
        <v>0</v>
      </c>
      <c r="F22" s="25">
        <v>452.91</v>
      </c>
      <c r="G22" s="19">
        <v>0</v>
      </c>
      <c r="H22" s="19">
        <v>0</v>
      </c>
      <c r="I22" s="32"/>
      <c r="L22" s="34"/>
    </row>
    <row r="23" spans="1:9" s="3" customFormat="1" ht="16.5" customHeight="1" hidden="1">
      <c r="A23" s="21" t="s">
        <v>265</v>
      </c>
      <c r="B23" s="19">
        <v>0</v>
      </c>
      <c r="C23" s="19">
        <v>0</v>
      </c>
      <c r="D23" s="19">
        <v>0</v>
      </c>
      <c r="E23" s="19"/>
      <c r="F23" s="19"/>
      <c r="G23" s="23" t="e">
        <f t="shared" si="0"/>
        <v>#DIV/0!</v>
      </c>
      <c r="H23" s="23" t="e">
        <f t="shared" si="1"/>
        <v>#DIV/0!</v>
      </c>
      <c r="I23" s="31"/>
    </row>
    <row r="24" spans="1:9" s="4" customFormat="1" ht="16.5" customHeight="1" hidden="1">
      <c r="A24" s="24" t="s">
        <v>266</v>
      </c>
      <c r="B24" s="19">
        <v>0</v>
      </c>
      <c r="C24" s="19">
        <v>0</v>
      </c>
      <c r="D24" s="19">
        <v>0</v>
      </c>
      <c r="E24" s="19"/>
      <c r="F24" s="19"/>
      <c r="G24" s="23" t="e">
        <f t="shared" si="0"/>
        <v>#DIV/0!</v>
      </c>
      <c r="H24" s="23" t="e">
        <f t="shared" si="1"/>
        <v>#DIV/0!</v>
      </c>
      <c r="I24" s="32"/>
    </row>
    <row r="25" spans="1:9" s="3" customFormat="1" ht="16.5" customHeight="1" hidden="1">
      <c r="A25" s="21" t="s">
        <v>267</v>
      </c>
      <c r="B25" s="19">
        <v>0</v>
      </c>
      <c r="C25" s="19">
        <v>0</v>
      </c>
      <c r="D25" s="19">
        <v>0</v>
      </c>
      <c r="E25" s="19"/>
      <c r="F25" s="19"/>
      <c r="G25" s="23" t="e">
        <f t="shared" si="0"/>
        <v>#DIV/0!</v>
      </c>
      <c r="H25" s="23" t="e">
        <f t="shared" si="1"/>
        <v>#DIV/0!</v>
      </c>
      <c r="I25" s="31"/>
    </row>
    <row r="26" spans="1:9" s="4" customFormat="1" ht="16.5" customHeight="1" hidden="1">
      <c r="A26" s="24" t="s">
        <v>268</v>
      </c>
      <c r="B26" s="19">
        <v>0</v>
      </c>
      <c r="C26" s="19">
        <v>0</v>
      </c>
      <c r="D26" s="19">
        <v>0</v>
      </c>
      <c r="E26" s="19"/>
      <c r="F26" s="19"/>
      <c r="G26" s="23" t="e">
        <f t="shared" si="0"/>
        <v>#DIV/0!</v>
      </c>
      <c r="H26" s="23" t="e">
        <f t="shared" si="1"/>
        <v>#DIV/0!</v>
      </c>
      <c r="I26" s="32"/>
    </row>
    <row r="27" spans="1:9" s="3" customFormat="1" ht="16.5" customHeight="1">
      <c r="A27" s="21" t="s">
        <v>269</v>
      </c>
      <c r="B27" s="19">
        <v>0</v>
      </c>
      <c r="C27" s="19">
        <v>0</v>
      </c>
      <c r="D27" s="22">
        <v>0.86</v>
      </c>
      <c r="E27" s="19">
        <v>0</v>
      </c>
      <c r="F27" s="19">
        <v>0</v>
      </c>
      <c r="G27" s="26">
        <f t="shared" si="0"/>
        <v>-1</v>
      </c>
      <c r="H27" s="19">
        <v>0</v>
      </c>
      <c r="I27" s="31"/>
    </row>
    <row r="28" spans="1:9" s="4" customFormat="1" ht="16.5" customHeight="1">
      <c r="A28" s="24" t="s">
        <v>270</v>
      </c>
      <c r="B28" s="19">
        <v>0</v>
      </c>
      <c r="C28" s="19">
        <v>0</v>
      </c>
      <c r="D28" s="27">
        <v>0.86</v>
      </c>
      <c r="E28" s="19">
        <v>0</v>
      </c>
      <c r="F28" s="19">
        <v>0</v>
      </c>
      <c r="G28" s="26">
        <f t="shared" si="0"/>
        <v>-1</v>
      </c>
      <c r="H28" s="19">
        <v>0</v>
      </c>
      <c r="I28" s="32"/>
    </row>
    <row r="29" spans="1:9" s="3" customFormat="1" ht="16.5" customHeight="1">
      <c r="A29" s="21" t="s">
        <v>271</v>
      </c>
      <c r="B29" s="22">
        <v>87.05</v>
      </c>
      <c r="C29" s="22">
        <v>145.74</v>
      </c>
      <c r="D29" s="22">
        <v>229.26</v>
      </c>
      <c r="E29" s="22">
        <v>239.62</v>
      </c>
      <c r="F29" s="22">
        <f>F30</f>
        <v>329.51</v>
      </c>
      <c r="G29" s="23">
        <f t="shared" si="0"/>
        <v>0.43727645468027565</v>
      </c>
      <c r="H29" s="23">
        <f t="shared" si="1"/>
        <v>0.37513563141640915</v>
      </c>
      <c r="I29" s="31"/>
    </row>
    <row r="30" spans="1:12" s="4" customFormat="1" ht="16.5" customHeight="1">
      <c r="A30" s="24" t="s">
        <v>272</v>
      </c>
      <c r="B30" s="27">
        <v>87.05</v>
      </c>
      <c r="C30" s="27">
        <v>145.74</v>
      </c>
      <c r="D30" s="27">
        <v>229.26</v>
      </c>
      <c r="E30" s="27">
        <v>239.62</v>
      </c>
      <c r="F30" s="27">
        <v>329.51</v>
      </c>
      <c r="G30" s="26">
        <f t="shared" si="0"/>
        <v>0.43727645468027565</v>
      </c>
      <c r="H30" s="26">
        <f t="shared" si="1"/>
        <v>0.37513563141640915</v>
      </c>
      <c r="I30" s="32"/>
      <c r="L30" s="33">
        <v>1485434.4</v>
      </c>
    </row>
    <row r="31" spans="1:12" s="4" customFormat="1" ht="16.5" customHeight="1">
      <c r="A31" s="21" t="s">
        <v>237</v>
      </c>
      <c r="B31" s="22"/>
      <c r="C31" s="22"/>
      <c r="D31" s="19">
        <v>0</v>
      </c>
      <c r="E31" s="22">
        <v>8950</v>
      </c>
      <c r="F31" s="22">
        <v>0</v>
      </c>
      <c r="G31" s="19">
        <v>0</v>
      </c>
      <c r="H31" s="23">
        <f t="shared" si="1"/>
        <v>-1</v>
      </c>
      <c r="I31" s="32"/>
      <c r="L31" s="34"/>
    </row>
    <row r="32" spans="1:12" s="4" customFormat="1" ht="16.5" customHeight="1">
      <c r="A32" s="24" t="s">
        <v>273</v>
      </c>
      <c r="B32" s="27"/>
      <c r="C32" s="27"/>
      <c r="D32" s="19">
        <v>0</v>
      </c>
      <c r="E32" s="27">
        <v>8950</v>
      </c>
      <c r="F32" s="27">
        <v>0</v>
      </c>
      <c r="G32" s="19">
        <v>0</v>
      </c>
      <c r="H32" s="26">
        <f t="shared" si="1"/>
        <v>-1</v>
      </c>
      <c r="I32" s="32"/>
      <c r="L32" s="34"/>
    </row>
    <row r="33" spans="1:12" s="4" customFormat="1" ht="16.5" customHeight="1">
      <c r="A33" s="21" t="s">
        <v>239</v>
      </c>
      <c r="B33" s="22"/>
      <c r="C33" s="22"/>
      <c r="D33" s="19">
        <v>0</v>
      </c>
      <c r="E33" s="22">
        <v>18.01</v>
      </c>
      <c r="F33" s="22">
        <v>400</v>
      </c>
      <c r="G33" s="19">
        <v>0</v>
      </c>
      <c r="H33" s="23">
        <f t="shared" si="1"/>
        <v>21.209883398112158</v>
      </c>
      <c r="I33" s="32"/>
      <c r="L33" s="34"/>
    </row>
    <row r="34" spans="1:12" s="4" customFormat="1" ht="16.5" customHeight="1">
      <c r="A34" s="24" t="s">
        <v>274</v>
      </c>
      <c r="B34" s="27"/>
      <c r="C34" s="27"/>
      <c r="D34" s="19">
        <v>0</v>
      </c>
      <c r="E34" s="27">
        <v>18.01</v>
      </c>
      <c r="F34" s="27">
        <v>400</v>
      </c>
      <c r="G34" s="19">
        <v>0</v>
      </c>
      <c r="H34" s="26">
        <f t="shared" si="1"/>
        <v>21.209883398112158</v>
      </c>
      <c r="I34" s="32"/>
      <c r="L34" s="34"/>
    </row>
    <row r="35" spans="1:12" s="4" customFormat="1" ht="16.5" customHeight="1">
      <c r="A35" s="21" t="s">
        <v>241</v>
      </c>
      <c r="B35" s="22"/>
      <c r="C35" s="22"/>
      <c r="D35" s="19">
        <v>0</v>
      </c>
      <c r="E35" s="22">
        <v>8.85</v>
      </c>
      <c r="F35" s="22">
        <v>5.5</v>
      </c>
      <c r="G35" s="19">
        <v>0</v>
      </c>
      <c r="H35" s="23">
        <f t="shared" si="1"/>
        <v>-0.37853107344632764</v>
      </c>
      <c r="I35" s="32"/>
      <c r="L35" s="34"/>
    </row>
    <row r="36" spans="1:12" s="4" customFormat="1" ht="16.5" customHeight="1">
      <c r="A36" s="24" t="s">
        <v>275</v>
      </c>
      <c r="B36" s="27"/>
      <c r="C36" s="27"/>
      <c r="D36" s="19">
        <v>0</v>
      </c>
      <c r="E36" s="27">
        <v>8.85</v>
      </c>
      <c r="F36" s="27">
        <v>5.5</v>
      </c>
      <c r="G36" s="19">
        <v>0</v>
      </c>
      <c r="H36" s="26">
        <f t="shared" si="1"/>
        <v>-0.37853107344632764</v>
      </c>
      <c r="I36" s="32"/>
      <c r="L36" s="34"/>
    </row>
    <row r="37" spans="1:9" s="5" customFormat="1" ht="16.5" customHeight="1">
      <c r="A37" s="28" t="s">
        <v>84</v>
      </c>
      <c r="B37" s="19" t="e">
        <f>B29+B14+B12+B10+#REF!+B23+B6+B8+B25</f>
        <v>#REF!</v>
      </c>
      <c r="C37" s="19" t="e">
        <f>C29+C14+C12+C10+#REF!+C23+C6+C8+C25</f>
        <v>#REF!</v>
      </c>
      <c r="D37" s="19">
        <f>D29+D14+D12+D10+D23+D6+D8+D25+D27+D31+D33+D35</f>
        <v>6104.5599999999995</v>
      </c>
      <c r="E37" s="19">
        <f>E29+E14+E12+E10+E23+E6+E8+E25+E27+E31+E33+E35</f>
        <v>13411.37</v>
      </c>
      <c r="F37" s="19">
        <f>F29+F14+F12+F10+F23+F6+F8+F25+F27+F31+F33+F35+0.01</f>
        <v>12390.45</v>
      </c>
      <c r="G37" s="23">
        <f t="shared" si="0"/>
        <v>1.029704024532481</v>
      </c>
      <c r="H37" s="23">
        <f t="shared" si="1"/>
        <v>-0.07612346837049455</v>
      </c>
      <c r="I37" s="32"/>
    </row>
    <row r="38" spans="1:9" ht="37.5" customHeight="1">
      <c r="A38" s="29"/>
      <c r="B38" s="29"/>
      <c r="C38" s="29"/>
      <c r="D38" s="29"/>
      <c r="E38" s="29"/>
      <c r="F38" s="29"/>
      <c r="G38" s="29"/>
      <c r="H38" s="29"/>
      <c r="I38" s="29"/>
    </row>
    <row r="39" ht="37.5" customHeight="1"/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</sheetData>
  <sheetProtection/>
  <mergeCells count="2">
    <mergeCell ref="A2:I2"/>
    <mergeCell ref="A38:I38"/>
  </mergeCells>
  <printOptions horizontalCentered="1"/>
  <pageMargins left="0.42986111111111114" right="0.39305555555555555" top="0.5798611111111112" bottom="0.39305555555555555" header="0.9298611111111111" footer="0.3145833333333333"/>
  <pageSetup firstPageNumber="16" useFirstPageNumber="1" horizontalDpi="600" verticalDpi="600" orientation="landscape" paperSize="9"/>
  <headerFooter scaleWithDoc="0" alignWithMargins="0">
    <oddFooter>&amp;C&amp;"Times New Roman,常规"— 15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SWCZ001</dc:creator>
  <cp:keywords/>
  <dc:description/>
  <cp:lastModifiedBy>SWCZ001</cp:lastModifiedBy>
  <cp:lastPrinted>2017-03-06T01:07:31Z</cp:lastPrinted>
  <dcterms:created xsi:type="dcterms:W3CDTF">2014-01-26T06:12:49Z</dcterms:created>
  <dcterms:modified xsi:type="dcterms:W3CDTF">2017-12-08T11:42:09Z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