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80" activeTab="0"/>
  </bookViews>
  <sheets>
    <sheet name="2018决算及2019预算（草案） " sheetId="1" r:id="rId1"/>
    <sheet name="一般公共预算收支明细表（草案）" sheetId="2" r:id="rId2"/>
    <sheet name="基金预算收支明细表（草案）" sheetId="3" r:id="rId3"/>
  </sheets>
  <definedNames>
    <definedName name="_xlnm.Print_Area" localSheetId="1">'一般公共预算收支明细表（草案）'!$A$1:$Q$162</definedName>
    <definedName name="_xlnm.Print_Area" localSheetId="2">'基金预算收支明细表（草案）'!$A$1:$Q$25</definedName>
    <definedName name="_xlnm.Print_Area" localSheetId="0">'2018决算及2019预算（草案） '!$A$1:$BP$60</definedName>
    <definedName name="_xlnm.Print_Titles" localSheetId="1">'一般公共预算收支明细表（草案）'!$5:$5</definedName>
  </definedNames>
  <calcPr fullCalcOnLoad="1"/>
</workbook>
</file>

<file path=xl/sharedStrings.xml><?xml version="1.0" encoding="utf-8"?>
<sst xmlns="http://schemas.openxmlformats.org/spreadsheetml/2006/main" count="422" uniqueCount="352">
  <si>
    <t>附件1：</t>
  </si>
  <si>
    <t>神湾镇2018年财政决算及2019年财政预算收支情况表(草案）</t>
  </si>
  <si>
    <t>编制单位:中山市财政局神湾分局</t>
  </si>
  <si>
    <t>单位:万元</t>
  </si>
  <si>
    <t>单位：万元</t>
  </si>
  <si>
    <t>收 入 项 目</t>
  </si>
  <si>
    <t>08比07决算增长数</t>
  </si>
  <si>
    <t>09比08预算增长数</t>
  </si>
  <si>
    <t>2010年决算</t>
  </si>
  <si>
    <t>2011年预算</t>
  </si>
  <si>
    <t>2011年决算</t>
  </si>
  <si>
    <t>2012年预算</t>
  </si>
  <si>
    <t>2013年决算</t>
  </si>
  <si>
    <t>2014年预算</t>
  </si>
  <si>
    <t>2014年决算</t>
  </si>
  <si>
    <t>2015年预算</t>
  </si>
  <si>
    <t>2014年决算比2013年决算增长</t>
  </si>
  <si>
    <t>2015年决算</t>
  </si>
  <si>
    <t>2016年预算</t>
  </si>
  <si>
    <t>2014年预算
执行情况</t>
  </si>
  <si>
    <t>2015年预算比2014年决算增长</t>
  </si>
  <si>
    <t>2012年决算比2011年决算增长</t>
  </si>
  <si>
    <t>2012年预算
执行情况</t>
  </si>
  <si>
    <t>2013年预算比2012年决算增长</t>
  </si>
  <si>
    <t>2011年决算比2010年决算</t>
  </si>
  <si>
    <t>2011年预算执行情况</t>
  </si>
  <si>
    <t>2012年预算比2011年决算</t>
  </si>
  <si>
    <t>2016年决算</t>
  </si>
  <si>
    <t>2017年预算
年初</t>
  </si>
  <si>
    <t>2017预算数</t>
  </si>
  <si>
    <t>2017年决算</t>
  </si>
  <si>
    <t>2018年预算
（调整后）</t>
  </si>
  <si>
    <t>2016年预算
执行情况</t>
  </si>
  <si>
    <t>2017预算同比实绩增长</t>
  </si>
  <si>
    <t>2018年执行</t>
  </si>
  <si>
    <t>2019年预算</t>
  </si>
  <si>
    <r>
      <t>2018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执行率</t>
    </r>
  </si>
  <si>
    <r>
      <t>2019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比增</t>
    </r>
  </si>
  <si>
    <t>支 出 项 目</t>
  </si>
  <si>
    <t xml:space="preserve">2012预算 </t>
  </si>
  <si>
    <r>
      <t>2019</t>
    </r>
    <r>
      <rPr>
        <sz val="16"/>
        <rFont val="宋体"/>
        <family val="0"/>
      </rPr>
      <t>年预算</t>
    </r>
  </si>
  <si>
    <r>
      <t>2017</t>
    </r>
    <r>
      <rPr>
        <sz val="12"/>
        <rFont val="黑体"/>
        <family val="3"/>
      </rPr>
      <t>预算同比实绩增长</t>
    </r>
  </si>
  <si>
    <t xml:space="preserve"> 一、一般公共预算收入</t>
  </si>
  <si>
    <t>一、一般公共预算支出</t>
  </si>
  <si>
    <t>1、税收分成收入</t>
  </si>
  <si>
    <t>1、一般公共服务支出</t>
  </si>
  <si>
    <t>2、非税收入</t>
  </si>
  <si>
    <t>2、外交支出（中央级科目）</t>
  </si>
  <si>
    <t>（1）专项收入</t>
  </si>
  <si>
    <t>3、国防支出（中央级科目）</t>
  </si>
  <si>
    <t>其中：市分成收费收入</t>
  </si>
  <si>
    <t>4、公共安全支出</t>
  </si>
  <si>
    <t>（2）行政事业性收费收入</t>
  </si>
  <si>
    <t>5、教育支出</t>
  </si>
  <si>
    <t>其中：本镇区征收收费收入</t>
  </si>
  <si>
    <t>6、科学技术支出</t>
  </si>
  <si>
    <t xml:space="preserve">      市分成收费收入</t>
  </si>
  <si>
    <t>7、文化旅游体育与传媒支出</t>
  </si>
  <si>
    <t>（3）国有资源(资产)有偿使用</t>
  </si>
  <si>
    <t>8、社会保障和就业支出</t>
  </si>
  <si>
    <t>（4）其他收入</t>
  </si>
  <si>
    <r>
      <t>9、</t>
    </r>
    <r>
      <rPr>
        <sz val="16"/>
        <rFont val="Arial"/>
        <family val="2"/>
      </rPr>
      <t> </t>
    </r>
    <r>
      <rPr>
        <sz val="16"/>
        <rFont val="仿宋_GB2312"/>
        <family val="3"/>
      </rPr>
      <t>卫生健康支出</t>
    </r>
  </si>
  <si>
    <t>二、上级补助收入</t>
  </si>
  <si>
    <t>10、节能环保支出</t>
  </si>
  <si>
    <t>1、均衡性转移支付收入</t>
  </si>
  <si>
    <t>11、城乡社区支出</t>
  </si>
  <si>
    <t>2、政策性转移支付收入</t>
  </si>
  <si>
    <t>12、农林水支出</t>
  </si>
  <si>
    <t>3、定向财力转移支付收入</t>
  </si>
  <si>
    <t>13、交通运输支出</t>
  </si>
  <si>
    <t>4、专项转移支付（补助）收入</t>
  </si>
  <si>
    <t>14、资源勘探信息等支出</t>
  </si>
  <si>
    <t>5、临时困难救助</t>
  </si>
  <si>
    <t>15、商业服务业等支出</t>
  </si>
  <si>
    <t>6、其他</t>
  </si>
  <si>
    <t>16、金融支出</t>
  </si>
  <si>
    <t>三、转贷地方政府债券收入</t>
  </si>
  <si>
    <t>17、援助其他地区支出</t>
  </si>
  <si>
    <t>四、调入预算稳定调节基金</t>
  </si>
  <si>
    <t>18、自然资源海洋气象等支出</t>
  </si>
  <si>
    <t>五、调入资金</t>
  </si>
  <si>
    <t>19、住房保障支出</t>
  </si>
  <si>
    <t>六、上年结余</t>
  </si>
  <si>
    <t>20、粮油物资储备支出</t>
  </si>
  <si>
    <t>21、灾害防治及应急管理支出</t>
  </si>
  <si>
    <t>22、预备费</t>
  </si>
  <si>
    <t>23、其他支出</t>
  </si>
  <si>
    <t>24、债务还本支出</t>
  </si>
  <si>
    <t>25、债务付息支出</t>
  </si>
  <si>
    <t>26、债务发行费用支出</t>
  </si>
  <si>
    <t>二、上解上级支出</t>
  </si>
  <si>
    <t>三、债务还本支出</t>
  </si>
  <si>
    <t>四、补充预算稳定调解基金</t>
  </si>
  <si>
    <t>五、本年结余 （一般公共）</t>
  </si>
  <si>
    <t>一至六项小计</t>
  </si>
  <si>
    <t>一至五项小计</t>
  </si>
  <si>
    <t>七、政府性基金预算收入</t>
  </si>
  <si>
    <t>六、政府性基金预算支出</t>
  </si>
  <si>
    <t>1、政府性基金非税收入</t>
  </si>
  <si>
    <t>1、社会保障和就业支出</t>
  </si>
  <si>
    <t>（1）国有土地使用权出让收入</t>
  </si>
  <si>
    <t>2、城乡社区支出</t>
  </si>
  <si>
    <t>（2）污水处理费收入</t>
  </si>
  <si>
    <t>3、其他支出</t>
  </si>
  <si>
    <t>（3）城市基础设施配套费</t>
  </si>
  <si>
    <t>4、债务付息支出</t>
  </si>
  <si>
    <t>5、债务发行费用支出</t>
  </si>
  <si>
    <t>八、政府性基金补助收入</t>
  </si>
  <si>
    <t>七、调出资金</t>
  </si>
  <si>
    <t>1、农业土地开发资金收入</t>
  </si>
  <si>
    <t>八、债务还本支出</t>
  </si>
  <si>
    <t>2、大中型水库移民后期扶持基金</t>
  </si>
  <si>
    <t>九、本年结余（政府性基金）</t>
  </si>
  <si>
    <t>3、彩票公益金收入</t>
  </si>
  <si>
    <t>4、新增建设用地有偿使用费收入</t>
  </si>
  <si>
    <t>5、其他</t>
  </si>
  <si>
    <t>九、债务转贷收入</t>
  </si>
  <si>
    <t>十、上年结余（政府性基金）</t>
  </si>
  <si>
    <t>七至十项小计</t>
  </si>
  <si>
    <t>六至九项小计</t>
  </si>
  <si>
    <t>十一、财政专户管理收入</t>
  </si>
  <si>
    <t>十、财政专户管理支出</t>
  </si>
  <si>
    <t>1、医疗收费收入</t>
  </si>
  <si>
    <t>（一）医疗收费收入对应支出</t>
  </si>
  <si>
    <t>2、教育收费收入</t>
  </si>
  <si>
    <t>（二）教育收费收入对应支出</t>
  </si>
  <si>
    <t>十二、上年结余（财政专户）</t>
  </si>
  <si>
    <t>十一、本年结余（财政专户）</t>
  </si>
  <si>
    <t>十一至十二项小计</t>
  </si>
  <si>
    <t>十至十一项小计</t>
  </si>
  <si>
    <t>收入总计</t>
  </si>
  <si>
    <t>支出总计</t>
  </si>
  <si>
    <t>附件2：</t>
  </si>
  <si>
    <t>神湾镇2019年一般公共预算收支明细表(草案)</t>
  </si>
  <si>
    <t>收入项目</t>
  </si>
  <si>
    <t>支出项目</t>
  </si>
  <si>
    <t>科目名称</t>
  </si>
  <si>
    <t>2018
预算数</t>
  </si>
  <si>
    <t>2018
决算数</t>
  </si>
  <si>
    <t>2019
预算数</t>
  </si>
  <si>
    <t>2018
预算执行</t>
  </si>
  <si>
    <t>2019
预算增长</t>
  </si>
  <si>
    <t>2015预算数</t>
  </si>
  <si>
    <t>2015决算数</t>
  </si>
  <si>
    <t>2016预算数</t>
  </si>
  <si>
    <t>2016决算数</t>
  </si>
  <si>
    <t>一、一般公共预算收入</t>
  </si>
  <si>
    <t>（一）税收分成收入</t>
  </si>
  <si>
    <t>（一）一般公共服务支出</t>
  </si>
  <si>
    <t>（二）非税收入</t>
  </si>
  <si>
    <t xml:space="preserve">    人大事务 </t>
  </si>
  <si>
    <t xml:space="preserve">  1、专项收入</t>
  </si>
  <si>
    <t xml:space="preserve">    政协事务 </t>
  </si>
  <si>
    <t xml:space="preserve">  2、行政事业性收费收入</t>
  </si>
  <si>
    <t xml:space="preserve">    政府办公厅（室）及相关机构事务 </t>
  </si>
  <si>
    <t xml:space="preserve">  3、罚没收入分成</t>
  </si>
  <si>
    <t xml:space="preserve">    发展与改革事务 </t>
  </si>
  <si>
    <t xml:space="preserve">  4、国有资本经营收入</t>
  </si>
  <si>
    <t xml:space="preserve">    统计信息事务 </t>
  </si>
  <si>
    <t xml:space="preserve">  5、国有资源（资产）有偿使用收入</t>
  </si>
  <si>
    <t xml:space="preserve">    财政事务 </t>
  </si>
  <si>
    <t xml:space="preserve">  6、捐赠收入</t>
  </si>
  <si>
    <t xml:space="preserve">    税收事务</t>
  </si>
  <si>
    <t xml:space="preserve">  7、其他收入</t>
  </si>
  <si>
    <t xml:space="preserve">    审计事务 </t>
  </si>
  <si>
    <t xml:space="preserve">    海关事务</t>
  </si>
  <si>
    <t xml:space="preserve">    人力资源事务 </t>
  </si>
  <si>
    <t xml:space="preserve">    纪检监察事务 </t>
  </si>
  <si>
    <t>（一）一般性转移支付收入</t>
  </si>
  <si>
    <t xml:space="preserve">    商贸事务 </t>
  </si>
  <si>
    <r>
      <t xml:space="preserve">  1、</t>
    </r>
    <r>
      <rPr>
        <sz val="11"/>
        <rFont val="宋体"/>
        <family val="0"/>
      </rPr>
      <t>均衡性转移支付收入</t>
    </r>
  </si>
  <si>
    <t xml:space="preserve">    工商行政管理事务</t>
  </si>
  <si>
    <r>
      <t xml:space="preserve">  2、</t>
    </r>
    <r>
      <rPr>
        <sz val="11"/>
        <rFont val="宋体"/>
        <family val="0"/>
      </rPr>
      <t>定向财力转移支付收入</t>
    </r>
  </si>
  <si>
    <t xml:space="preserve">    质量技术监督与检验检疫事务</t>
  </si>
  <si>
    <r>
      <t xml:space="preserve">  3、</t>
    </r>
    <r>
      <rPr>
        <sz val="11"/>
        <rFont val="宋体"/>
        <family val="0"/>
      </rPr>
      <t>其他一般性转移支付收入</t>
    </r>
  </si>
  <si>
    <t xml:space="preserve">    港澳台侨事务 </t>
  </si>
  <si>
    <t>（二）专项转移支付收入</t>
  </si>
  <si>
    <t xml:space="preserve">    档案事务</t>
  </si>
  <si>
    <t xml:space="preserve">    群众团体事务 </t>
  </si>
  <si>
    <t>三、一般债券转贷收入</t>
  </si>
  <si>
    <t xml:space="preserve">    党委办公室及相关机构</t>
  </si>
  <si>
    <t xml:space="preserve">    组织事务</t>
  </si>
  <si>
    <t>四、调入资金</t>
  </si>
  <si>
    <t xml:space="preserve">    宣传事务</t>
  </si>
  <si>
    <t xml:space="preserve">    统战事务</t>
  </si>
  <si>
    <t>五、上年结余</t>
  </si>
  <si>
    <t xml:space="preserve">    对外联络事务</t>
  </si>
  <si>
    <t xml:space="preserve">    民族事务</t>
  </si>
  <si>
    <t xml:space="preserve">    市场监督管理事务</t>
  </si>
  <si>
    <t xml:space="preserve">    其他一般公共服务支出 </t>
  </si>
  <si>
    <t>（二）公共安全支出</t>
  </si>
  <si>
    <t xml:space="preserve">    武装警察部队</t>
  </si>
  <si>
    <t xml:space="preserve">    公安 </t>
  </si>
  <si>
    <t xml:space="preserve">    国家安全</t>
  </si>
  <si>
    <t xml:space="preserve">    司法 </t>
  </si>
  <si>
    <t xml:space="preserve">    强制隔离戒毒</t>
  </si>
  <si>
    <t xml:space="preserve">    缉私警察</t>
  </si>
  <si>
    <t xml:space="preserve">    其他公共安全支出 </t>
  </si>
  <si>
    <t>（三）教育支出</t>
  </si>
  <si>
    <t xml:space="preserve">    教育管理事务 </t>
  </si>
  <si>
    <t xml:space="preserve">    普通教育 </t>
  </si>
  <si>
    <t xml:space="preserve">    职业教育</t>
  </si>
  <si>
    <t xml:space="preserve">    成人教育</t>
  </si>
  <si>
    <t xml:space="preserve">    特殊教育</t>
  </si>
  <si>
    <t xml:space="preserve">    进修及培训</t>
  </si>
  <si>
    <t xml:space="preserve">    教育附加安排的支出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</si>
  <si>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其他教育支出 </t>
    </r>
  </si>
  <si>
    <t xml:space="preserve">（四）科学技术支出 </t>
  </si>
  <si>
    <t xml:space="preserve">    科学技术管理事务</t>
  </si>
  <si>
    <t xml:space="preserve">    技术研究与开发 </t>
  </si>
  <si>
    <t xml:space="preserve">    科学技术普及</t>
  </si>
  <si>
    <t xml:space="preserve">    科技交流与合作</t>
  </si>
  <si>
    <t xml:space="preserve">    其他科学技术支出</t>
  </si>
  <si>
    <t>（五）文化旅游体育与传媒支出</t>
  </si>
  <si>
    <t xml:space="preserve">    文化和旅游</t>
  </si>
  <si>
    <t xml:space="preserve">    文物</t>
  </si>
  <si>
    <t xml:space="preserve">    体育 </t>
  </si>
  <si>
    <t xml:space="preserve">    新闻出版广播影视 </t>
  </si>
  <si>
    <t xml:space="preserve">    新闻出版电影</t>
  </si>
  <si>
    <t xml:space="preserve">    其他文化体育与传媒支出 </t>
  </si>
  <si>
    <t xml:space="preserve">（六）社会保障和就业支出  </t>
  </si>
  <si>
    <t xml:space="preserve">    人力资源和社会保障管理事务 </t>
  </si>
  <si>
    <t xml:space="preserve">    民政管理事务 </t>
  </si>
  <si>
    <t xml:space="preserve">    财政对社会保险基金补助 </t>
  </si>
  <si>
    <t xml:space="preserve">    行政事业单位离退休</t>
  </si>
  <si>
    <t xml:space="preserve">    就业补助</t>
  </si>
  <si>
    <t xml:space="preserve">    抚恤</t>
  </si>
  <si>
    <t xml:space="preserve">    退役安置</t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</si>
  <si>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社会福利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</si>
  <si>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残疾人事业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</si>
  <si>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红十字事业 </t>
    </r>
  </si>
  <si>
    <t xml:space="preserve">    自然灾害救助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</si>
  <si>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最低生活保障 </t>
    </r>
  </si>
  <si>
    <t xml:space="preserve">    临时救助</t>
  </si>
  <si>
    <t xml:space="preserve">    特困人员供养</t>
  </si>
  <si>
    <r>
      <t> </t>
    </r>
    <r>
      <rPr>
        <sz val="11"/>
        <rFont val="仿宋_GB2312"/>
        <family val="3"/>
      </rPr>
      <t xml:space="preserve">   财政对基本养老保险基金的补助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</si>
  <si>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其他社会保障和就业支出 </t>
    </r>
  </si>
  <si>
    <t>（七）卫生健康支出</t>
  </si>
  <si>
    <r>
      <t> </t>
    </r>
    <r>
      <rPr>
        <sz val="11"/>
        <rFont val="仿宋_GB2312"/>
        <family val="3"/>
      </rPr>
      <t xml:space="preserve">    </t>
    </r>
    <r>
      <rPr>
        <sz val="11"/>
        <rFont val="宋体"/>
        <family val="0"/>
      </rPr>
      <t>卫生健康管理事务</t>
    </r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</si>
  <si>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</si>
  <si>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</si>
  <si>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</si>
  <si>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</si>
  <si>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</si>
  <si>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计划生育事务</t>
  </si>
  <si>
    <t xml:space="preserve">    食品和药品监督管理事务</t>
  </si>
  <si>
    <t xml:space="preserve">    医疗救助</t>
  </si>
  <si>
    <t xml:space="preserve">    财政对基本医疗保险基金的补助</t>
  </si>
  <si>
    <t xml:space="preserve">    其他卫生健康支出</t>
  </si>
  <si>
    <t xml:space="preserve">（八）节能环保支出 </t>
  </si>
  <si>
    <r>
      <t> 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环境保护管理事务 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</si>
  <si>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环境监测与监察 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</si>
  <si>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污染防治 </t>
    </r>
  </si>
  <si>
    <t xml:space="preserve">    自然生态保护</t>
  </si>
  <si>
    <t xml:space="preserve">    能源节约利用</t>
  </si>
  <si>
    <t xml:space="preserve">    污染减排</t>
  </si>
  <si>
    <t xml:space="preserve">    能源管理事务</t>
  </si>
  <si>
    <r>
      <t>    </t>
    </r>
    <r>
      <rPr>
        <sz val="11"/>
        <rFont val="仿宋_GB2312"/>
        <family val="3"/>
      </rPr>
      <t xml:space="preserve">  其他节能环保支出 </t>
    </r>
  </si>
  <si>
    <t xml:space="preserve">（九）城乡社区支出  </t>
  </si>
  <si>
    <r>
      <t> 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城乡社区管理事务 </t>
    </r>
  </si>
  <si>
    <r>
      <t> 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</t>
    </r>
    <r>
      <rPr>
        <sz val="11"/>
        <rFont val="仿宋_GB2312"/>
        <family val="3"/>
      </rPr>
      <t xml:space="preserve">城乡社区规划与管理 </t>
    </r>
  </si>
  <si>
    <r>
      <t xml:space="preserve">  </t>
    </r>
    <r>
      <rPr>
        <sz val="11"/>
        <rFont val="Arial"/>
        <family val="2"/>
      </rPr>
      <t>    </t>
    </r>
    <r>
      <rPr>
        <sz val="11"/>
        <rFont val="仿宋_GB2312"/>
        <family val="3"/>
      </rPr>
      <t xml:space="preserve">城乡社区公共设施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</si>
  <si>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城乡社区环境卫生 </t>
    </r>
  </si>
  <si>
    <t xml:space="preserve">    建设市场管理与监督</t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</si>
  <si>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 xml:space="preserve">其他城乡社区事务支出 </t>
    </r>
  </si>
  <si>
    <t xml:space="preserve">（十）农林水支出  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</si>
  <si>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农业 </t>
    </r>
  </si>
  <si>
    <r>
      <t>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 </t>
    </r>
    <r>
      <rPr>
        <sz val="11"/>
        <rFont val="仿宋_GB2312"/>
        <family val="3"/>
      </rPr>
      <t>林业和草原</t>
    </r>
  </si>
  <si>
    <r>
      <t xml:space="preserve">  </t>
    </r>
    <r>
      <rPr>
        <sz val="11"/>
        <rFont val="Arial"/>
        <family val="2"/>
      </rPr>
      <t>    </t>
    </r>
    <r>
      <rPr>
        <sz val="11"/>
        <rFont val="仿宋_GB2312"/>
        <family val="3"/>
      </rPr>
      <t xml:space="preserve">水利 </t>
    </r>
  </si>
  <si>
    <r>
      <t xml:space="preserve">  </t>
    </r>
    <r>
      <rPr>
        <sz val="11"/>
        <rFont val="Arial"/>
        <family val="2"/>
      </rPr>
      <t>    </t>
    </r>
    <r>
      <rPr>
        <sz val="11"/>
        <rFont val="仿宋_GB2312"/>
        <family val="3"/>
      </rPr>
      <t xml:space="preserve">扶贫 </t>
    </r>
  </si>
  <si>
    <t xml:space="preserve">    农村综合改革</t>
  </si>
  <si>
    <t xml:space="preserve">    农业综合开发</t>
  </si>
  <si>
    <t xml:space="preserve">    其他农林水支出</t>
  </si>
  <si>
    <t xml:space="preserve">（十一）交通运输支出  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</si>
  <si>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公路水路运输 </t>
    </r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</si>
  <si>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>石油价格改革对交通运输的补贴</t>
    </r>
  </si>
  <si>
    <t xml:space="preserve">    其他交通运输支出</t>
  </si>
  <si>
    <t xml:space="preserve">（十二）资源勘探信息等支出  </t>
  </si>
  <si>
    <t xml:space="preserve">    制造业</t>
  </si>
  <si>
    <t xml:space="preserve">    电力监管支出</t>
  </si>
  <si>
    <t xml:space="preserve">    支持中小企业发展和管理支出</t>
  </si>
  <si>
    <t xml:space="preserve">    工业和信息产业监管</t>
  </si>
  <si>
    <r>
      <t>  </t>
    </r>
    <r>
      <rPr>
        <sz val="11"/>
        <rFont val="仿宋_GB2312"/>
        <family val="3"/>
      </rPr>
      <t xml:space="preserve">  </t>
    </r>
    <r>
      <rPr>
        <sz val="11"/>
        <rFont val="Arial"/>
        <family val="2"/>
      </rPr>
      <t>  </t>
    </r>
    <r>
      <rPr>
        <sz val="11"/>
        <rFont val="仿宋_GB2312"/>
        <family val="3"/>
      </rPr>
      <t xml:space="preserve">安全生产监督 </t>
    </r>
  </si>
  <si>
    <t xml:space="preserve">（十三）商业服务业等支出 </t>
  </si>
  <si>
    <t xml:space="preserve">    商业流通事务</t>
  </si>
  <si>
    <t xml:space="preserve">    旅游业管理与服务支出</t>
  </si>
  <si>
    <t xml:space="preserve">    涉外发展服务支出 </t>
  </si>
  <si>
    <t xml:space="preserve">    其他商业服务业等事务支出</t>
  </si>
  <si>
    <t xml:space="preserve">（十四）自然资源海洋气象等支出 </t>
  </si>
  <si>
    <t xml:space="preserve">    自然资源事务</t>
  </si>
  <si>
    <t xml:space="preserve">    地震事务</t>
  </si>
  <si>
    <t xml:space="preserve">（十五）预备费 </t>
  </si>
  <si>
    <t>（十六）金融支出</t>
  </si>
  <si>
    <t xml:space="preserve">    金融部门行政支出</t>
  </si>
  <si>
    <t xml:space="preserve">    金融发展支出</t>
  </si>
  <si>
    <t xml:space="preserve">    其他金融监管等事务支出</t>
  </si>
  <si>
    <t>（十七）住房保障支出</t>
  </si>
  <si>
    <t xml:space="preserve">    保障性安居工程支出</t>
  </si>
  <si>
    <t xml:space="preserve">    住房改革支出</t>
  </si>
  <si>
    <t xml:space="preserve">    城乡社区住宅</t>
  </si>
  <si>
    <t>（十八）粮油物资储备支出</t>
  </si>
  <si>
    <t xml:space="preserve">    粮油事务</t>
  </si>
  <si>
    <t xml:space="preserve">    粮油储备</t>
  </si>
  <si>
    <t>（十九）灾害防治及应急管理支出</t>
  </si>
  <si>
    <t xml:space="preserve">    应急管理事务</t>
  </si>
  <si>
    <t xml:space="preserve">    消防事务</t>
  </si>
  <si>
    <t>（二十）债务付息支出</t>
  </si>
  <si>
    <t xml:space="preserve">    一般债务付息支出</t>
  </si>
  <si>
    <t>（二十一）债务还本支出</t>
  </si>
  <si>
    <t xml:space="preserve">    地方政府一般债务还本支出</t>
  </si>
  <si>
    <t>（二十一）转移性支出</t>
  </si>
  <si>
    <t>（二十二）补充预算稳定调解基金</t>
  </si>
  <si>
    <t>（二十二）本年结余</t>
  </si>
  <si>
    <t>收入合计</t>
  </si>
  <si>
    <t>支出合计</t>
  </si>
  <si>
    <t>附注：</t>
  </si>
  <si>
    <t>财政专户管理收入</t>
  </si>
  <si>
    <t>财政专户管理支出</t>
  </si>
  <si>
    <t>（一）医疗收费收入</t>
  </si>
  <si>
    <t>（二）教育收费收入</t>
  </si>
  <si>
    <t>（三）财政专户结余</t>
  </si>
  <si>
    <t>附件3：</t>
  </si>
  <si>
    <t>神湾镇2019年政府性基金预算收支明细表(草案)</t>
  </si>
  <si>
    <t>编制单位：中山市财政局神湾分局</t>
  </si>
  <si>
    <t>一、政府性基金预算收入</t>
  </si>
  <si>
    <t>一、政府性基金预算支出</t>
  </si>
  <si>
    <t>（一）政府性基金非税收入</t>
  </si>
  <si>
    <t xml:space="preserve">（一）社会保障和就业支出 </t>
  </si>
  <si>
    <t xml:space="preserve">    国有土地使用权出让收入</t>
  </si>
  <si>
    <t xml:space="preserve">    大中型水库移民后期扶持基金支出</t>
  </si>
  <si>
    <t xml:space="preserve">    污水处理费收入</t>
  </si>
  <si>
    <t xml:space="preserve">（二）城乡社区支出 </t>
  </si>
  <si>
    <t>（二）政府性基金补助收入</t>
  </si>
  <si>
    <t xml:space="preserve">    国有土地使用权出让金支出</t>
  </si>
  <si>
    <t xml:space="preserve">    农业土地开发资金收入</t>
  </si>
  <si>
    <t xml:space="preserve">    城市公用事业附加支出</t>
  </si>
  <si>
    <t xml:space="preserve">    大中型水库移民后期扶持基金收入</t>
  </si>
  <si>
    <t xml:space="preserve">    农业土地开发资金支出</t>
  </si>
  <si>
    <t xml:space="preserve">    彩票公益金收入</t>
  </si>
  <si>
    <t xml:space="preserve">    新增建设用地有偿使用费支出</t>
  </si>
  <si>
    <t xml:space="preserve">       其中：定向财力转移支付收入</t>
  </si>
  <si>
    <t xml:space="preserve">    污水处理费安排的支出</t>
  </si>
  <si>
    <t>（三）其他支出</t>
  </si>
  <si>
    <t>二、专项债券转贷收入</t>
  </si>
  <si>
    <t xml:space="preserve">    彩票公益金安排的支出</t>
  </si>
  <si>
    <t>（四）债务付息支出</t>
  </si>
  <si>
    <t>三、上年结余</t>
  </si>
  <si>
    <t xml:space="preserve">    专项债务付息支出</t>
  </si>
  <si>
    <t>（五）债务发行费用支出</t>
  </si>
  <si>
    <t xml:space="preserve">    专项债务发行费用支出</t>
  </si>
  <si>
    <t>二、调出资金</t>
  </si>
  <si>
    <t>三、本年结余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</si>
</sst>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_ "/>
    <numFmt numFmtId="178" formatCode="_ * #,##0_ ;_ * \-#,##0_ ;_ * &quot;-&quot;??_ ;_ @_ "/>
    <numFmt numFmtId="179" formatCode="0.00_ ;[Red]\-0.00\ "/>
    <numFmt numFmtId="180" formatCode="#,##0_ "/>
    <numFmt numFmtId="181" formatCode="#,##0_);[Red]\(#,##0\)"/>
    <numFmt numFmtId="182" formatCode="0.00_ "/>
    <numFmt numFmtId="183" formatCode="0_);[Red]\(0\)"/>
  </numFmts>
  <fonts count="48">
    <font>
      <sz val="12"/>
      <name val="宋体"/>
      <family val="0"/>
    </font>
    <font>
      <sz val="14"/>
      <name val="Times New Roman"/>
      <family val="1"/>
    </font>
    <font>
      <sz val="12"/>
      <name val="黑体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创艺简标宋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b/>
      <sz val="11"/>
      <name val="仿宋_GB2312"/>
      <family val="3"/>
    </font>
    <font>
      <sz val="11"/>
      <name val="Arial"/>
      <family val="2"/>
    </font>
    <font>
      <sz val="10"/>
      <name val="Times New Roman"/>
      <family val="1"/>
    </font>
    <font>
      <sz val="12"/>
      <name val="创艺简标宋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仿宋_GB2312"/>
      <family val="3"/>
    </font>
    <font>
      <sz val="28"/>
      <name val="创艺简标宋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5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4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34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9" fillId="0" borderId="3" applyNumberFormat="0" applyFill="0" applyAlignment="0" applyProtection="0"/>
    <xf numFmtId="0" fontId="34" fillId="7" borderId="0" applyNumberFormat="0" applyBorder="0" applyAlignment="0" applyProtection="0"/>
    <xf numFmtId="0" fontId="39" fillId="0" borderId="4" applyNumberFormat="0" applyFill="0" applyAlignment="0" applyProtection="0"/>
    <xf numFmtId="0" fontId="34" fillId="3" borderId="0" applyNumberFormat="0" applyBorder="0" applyAlignment="0" applyProtection="0"/>
    <xf numFmtId="0" fontId="44" fillId="2" borderId="5" applyNumberFormat="0" applyAlignment="0" applyProtection="0"/>
    <xf numFmtId="0" fontId="33" fillId="2" borderId="1" applyNumberFormat="0" applyAlignment="0" applyProtection="0"/>
    <xf numFmtId="0" fontId="31" fillId="8" borderId="6" applyNumberFormat="0" applyAlignment="0" applyProtection="0"/>
    <xf numFmtId="0" fontId="28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7" applyNumberFormat="0" applyFill="0" applyAlignment="0" applyProtection="0"/>
    <xf numFmtId="0" fontId="42" fillId="0" borderId="8" applyNumberFormat="0" applyFill="0" applyAlignment="0" applyProtection="0"/>
    <xf numFmtId="0" fontId="45" fillId="9" borderId="0" applyNumberFormat="0" applyBorder="0" applyAlignment="0" applyProtection="0"/>
    <xf numFmtId="0" fontId="38" fillId="11" borderId="0" applyNumberFormat="0" applyBorder="0" applyAlignment="0" applyProtection="0"/>
    <xf numFmtId="0" fontId="28" fillId="12" borderId="0" applyNumberFormat="0" applyBorder="0" applyAlignment="0" applyProtection="0"/>
    <xf numFmtId="0" fontId="3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34" fillId="16" borderId="0" applyNumberFormat="0" applyBorder="0" applyAlignment="0" applyProtection="0"/>
    <xf numFmtId="0" fontId="28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86">
    <xf numFmtId="0" fontId="0" fillId="0" borderId="0" xfId="0" applyAlignment="1">
      <alignment/>
    </xf>
    <xf numFmtId="0" fontId="1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3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5" fillId="0" borderId="0" xfId="65" applyFont="1">
      <alignment vertical="center"/>
      <protection/>
    </xf>
    <xf numFmtId="10" fontId="5" fillId="0" borderId="0" xfId="65" applyNumberFormat="1" applyFont="1" applyAlignment="1">
      <alignment horizontal="center" vertical="center"/>
      <protection/>
    </xf>
    <xf numFmtId="0" fontId="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7" fillId="0" borderId="0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8" fillId="0" borderId="9" xfId="65" applyFont="1" applyBorder="1" applyAlignment="1">
      <alignment horizontal="center" vertical="center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/>
      <protection/>
    </xf>
    <xf numFmtId="0" fontId="10" fillId="0" borderId="9" xfId="65" applyFont="1" applyFill="1" applyBorder="1" applyAlignment="1">
      <alignment horizontal="left" vertical="center" wrapText="1"/>
      <protection/>
    </xf>
    <xf numFmtId="43" fontId="3" fillId="0" borderId="9" xfId="65" applyNumberFormat="1" applyFont="1" applyBorder="1" applyAlignment="1">
      <alignment horizontal="right" vertical="center"/>
      <protection/>
    </xf>
    <xf numFmtId="10" fontId="3" fillId="0" borderId="9" xfId="25" applyNumberFormat="1" applyFont="1" applyBorder="1" applyAlignment="1">
      <alignment vertical="center"/>
    </xf>
    <xf numFmtId="0" fontId="10" fillId="0" borderId="9" xfId="65" applyFont="1" applyBorder="1" applyAlignment="1">
      <alignment horizontal="left" vertical="center"/>
      <protection/>
    </xf>
    <xf numFmtId="43" fontId="3" fillId="0" borderId="9" xfId="22" applyFont="1" applyBorder="1" applyAlignment="1">
      <alignment vertical="center"/>
    </xf>
    <xf numFmtId="4" fontId="10" fillId="0" borderId="9" xfId="65" applyNumberFormat="1" applyFont="1" applyBorder="1" applyAlignment="1">
      <alignment vertical="center"/>
      <protection/>
    </xf>
    <xf numFmtId="176" fontId="3" fillId="0" borderId="9" xfId="65" applyNumberFormat="1" applyFont="1" applyBorder="1" applyAlignment="1">
      <alignment horizontal="right" vertical="center"/>
      <protection/>
    </xf>
    <xf numFmtId="0" fontId="8" fillId="0" borderId="9" xfId="65" applyFont="1" applyBorder="1" applyAlignment="1">
      <alignment horizontal="left" vertical="center"/>
      <protection/>
    </xf>
    <xf numFmtId="43" fontId="4" fillId="0" borderId="9" xfId="22" applyFont="1" applyBorder="1" applyAlignment="1">
      <alignment vertical="center"/>
    </xf>
    <xf numFmtId="4" fontId="8" fillId="0" borderId="9" xfId="65" applyNumberFormat="1" applyFont="1" applyBorder="1" applyAlignment="1">
      <alignment vertical="center"/>
      <protection/>
    </xf>
    <xf numFmtId="43" fontId="4" fillId="0" borderId="9" xfId="65" applyNumberFormat="1" applyFont="1" applyBorder="1" applyAlignment="1">
      <alignment horizontal="right" vertical="center"/>
      <protection/>
    </xf>
    <xf numFmtId="176" fontId="4" fillId="0" borderId="9" xfId="65" applyNumberFormat="1" applyFont="1" applyBorder="1" applyAlignment="1">
      <alignment horizontal="right" vertical="center"/>
      <protection/>
    </xf>
    <xf numFmtId="0" fontId="8" fillId="0" borderId="9" xfId="65" applyFont="1" applyBorder="1" applyAlignment="1">
      <alignment horizontal="left" vertical="center"/>
      <protection/>
    </xf>
    <xf numFmtId="10" fontId="4" fillId="0" borderId="9" xfId="25" applyNumberFormat="1" applyFont="1" applyBorder="1" applyAlignment="1">
      <alignment vertical="center"/>
    </xf>
    <xf numFmtId="0" fontId="4" fillId="0" borderId="9" xfId="65" applyFont="1" applyBorder="1">
      <alignment vertical="center"/>
      <protection/>
    </xf>
    <xf numFmtId="10" fontId="4" fillId="0" borderId="9" xfId="65" applyNumberFormat="1" applyFont="1" applyBorder="1">
      <alignment vertical="center"/>
      <protection/>
    </xf>
    <xf numFmtId="4" fontId="10" fillId="0" borderId="9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Alignment="1">
      <alignment horizontal="left" vertical="center"/>
      <protection/>
    </xf>
    <xf numFmtId="10" fontId="1" fillId="0" borderId="0" xfId="65" applyNumberFormat="1" applyFont="1" applyAlignment="1">
      <alignment horizontal="center" vertical="center"/>
      <protection/>
    </xf>
    <xf numFmtId="10" fontId="3" fillId="0" borderId="9" xfId="65" applyNumberFormat="1" applyFont="1" applyBorder="1" applyAlignment="1">
      <alignment horizontal="right" vertical="center"/>
      <protection/>
    </xf>
    <xf numFmtId="43" fontId="4" fillId="0" borderId="9" xfId="22" applyFont="1" applyFill="1" applyBorder="1" applyAlignment="1" applyProtection="1">
      <alignment horizontal="right" vertical="center"/>
      <protection/>
    </xf>
    <xf numFmtId="0" fontId="7" fillId="0" borderId="0" xfId="65" applyFont="1" applyAlignment="1">
      <alignment horizontal="right" vertical="center"/>
      <protection/>
    </xf>
    <xf numFmtId="4" fontId="0" fillId="0" borderId="9" xfId="65" applyNumberFormat="1" applyFont="1" applyFill="1" applyBorder="1" applyAlignment="1" applyProtection="1">
      <alignment vertical="center"/>
      <protection/>
    </xf>
    <xf numFmtId="4" fontId="0" fillId="0" borderId="0" xfId="65" applyNumberFormat="1" applyFont="1" applyFill="1" applyBorder="1" applyAlignment="1" applyProtection="1">
      <alignment vertical="center"/>
      <protection/>
    </xf>
    <xf numFmtId="4" fontId="0" fillId="0" borderId="0" xfId="65" applyNumberFormat="1" applyFont="1" applyFill="1" applyBorder="1" applyAlignment="1" applyProtection="1">
      <alignment vertical="center"/>
      <protection/>
    </xf>
    <xf numFmtId="4" fontId="0" fillId="0" borderId="0" xfId="65" applyNumberFormat="1" applyFont="1" applyFill="1" applyAlignment="1" applyProtection="1">
      <alignment vertical="center"/>
      <protection/>
    </xf>
    <xf numFmtId="0" fontId="1" fillId="0" borderId="0" xfId="65" applyFont="1" applyFill="1">
      <alignment vertical="center"/>
      <protection/>
    </xf>
    <xf numFmtId="0" fontId="9" fillId="0" borderId="0" xfId="65" applyFont="1" applyFill="1" applyAlignment="1">
      <alignment vertical="center" wrapText="1"/>
      <protection/>
    </xf>
    <xf numFmtId="0" fontId="3" fillId="0" borderId="0" xfId="65" applyFont="1" applyFill="1">
      <alignment vertical="center"/>
      <protection/>
    </xf>
    <xf numFmtId="0" fontId="4" fillId="0" borderId="0" xfId="65" applyFont="1" applyFill="1">
      <alignment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65" applyFont="1" applyFill="1">
      <alignment vertical="center"/>
      <protection/>
    </xf>
    <xf numFmtId="10" fontId="5" fillId="0" borderId="0" xfId="65" applyNumberFormat="1" applyFont="1" applyFill="1">
      <alignment vertical="center"/>
      <protection/>
    </xf>
    <xf numFmtId="0" fontId="7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9" xfId="65" applyFont="1" applyFill="1" applyBorder="1" applyAlignment="1">
      <alignment horizontal="center" vertical="center"/>
      <protection/>
    </xf>
    <xf numFmtId="0" fontId="7" fillId="0" borderId="9" xfId="65" applyFont="1" applyFill="1" applyBorder="1" applyAlignment="1">
      <alignment horizontal="center" vertical="center"/>
      <protection/>
    </xf>
    <xf numFmtId="0" fontId="10" fillId="0" borderId="9" xfId="65" applyFont="1" applyFill="1" applyBorder="1" applyAlignment="1">
      <alignment horizontal="left" vertical="center"/>
      <protection/>
    </xf>
    <xf numFmtId="43" fontId="3" fillId="0" borderId="9" xfId="65" applyNumberFormat="1" applyFont="1" applyFill="1" applyBorder="1" applyAlignment="1">
      <alignment horizontal="right" vertical="center"/>
      <protection/>
    </xf>
    <xf numFmtId="10" fontId="3" fillId="0" borderId="9" xfId="25" applyNumberFormat="1" applyFont="1" applyFill="1" applyBorder="1" applyAlignment="1">
      <alignment horizontal="right" vertical="center"/>
    </xf>
    <xf numFmtId="43" fontId="3" fillId="0" borderId="9" xfId="65" applyNumberFormat="1" applyFont="1" applyFill="1" applyBorder="1">
      <alignment vertical="center"/>
      <protection/>
    </xf>
    <xf numFmtId="0" fontId="8" fillId="0" borderId="9" xfId="65" applyFont="1" applyFill="1" applyBorder="1" applyAlignment="1">
      <alignment horizontal="left" vertical="center"/>
      <protection/>
    </xf>
    <xf numFmtId="43" fontId="4" fillId="0" borderId="9" xfId="65" applyNumberFormat="1" applyFont="1" applyFill="1" applyBorder="1">
      <alignment vertical="center"/>
      <protection/>
    </xf>
    <xf numFmtId="43" fontId="4" fillId="0" borderId="9" xfId="65" applyNumberFormat="1" applyFont="1" applyFill="1" applyBorder="1" applyAlignment="1">
      <alignment horizontal="right" vertical="center"/>
      <protection/>
    </xf>
    <xf numFmtId="10" fontId="10" fillId="0" borderId="9" xfId="25" applyNumberFormat="1" applyFont="1" applyFill="1" applyBorder="1" applyAlignment="1">
      <alignment horizontal="right" vertical="center"/>
    </xf>
    <xf numFmtId="43" fontId="3" fillId="0" borderId="9" xfId="65" applyNumberFormat="1" applyFont="1" applyFill="1" applyBorder="1">
      <alignment vertical="center"/>
      <protection/>
    </xf>
    <xf numFmtId="10" fontId="3" fillId="0" borderId="9" xfId="25" applyNumberFormat="1" applyFont="1" applyFill="1" applyBorder="1" applyAlignment="1">
      <alignment vertical="center"/>
    </xf>
    <xf numFmtId="0" fontId="4" fillId="0" borderId="9" xfId="65" applyFont="1" applyFill="1" applyBorder="1">
      <alignment vertical="center"/>
      <protection/>
    </xf>
    <xf numFmtId="0" fontId="3" fillId="0" borderId="9" xfId="65" applyFont="1" applyFill="1" applyBorder="1">
      <alignment vertical="center"/>
      <protection/>
    </xf>
    <xf numFmtId="0" fontId="11" fillId="0" borderId="9" xfId="65" applyFont="1" applyFill="1" applyBorder="1" applyAlignment="1">
      <alignment horizontal="left" vertical="center"/>
      <protection/>
    </xf>
    <xf numFmtId="10" fontId="1" fillId="0" borderId="0" xfId="65" applyNumberFormat="1" applyFont="1" applyFill="1">
      <alignment vertical="center"/>
      <protection/>
    </xf>
    <xf numFmtId="43" fontId="3" fillId="0" borderId="9" xfId="65" applyNumberFormat="1" applyFont="1" applyFill="1" applyBorder="1" applyAlignment="1">
      <alignment horizontal="right" vertical="center"/>
      <protection/>
    </xf>
    <xf numFmtId="10" fontId="3" fillId="0" borderId="9" xfId="25" applyNumberFormat="1" applyFont="1" applyFill="1" applyBorder="1" applyAlignment="1">
      <alignment horizontal="right" vertical="center"/>
    </xf>
    <xf numFmtId="43" fontId="4" fillId="0" borderId="9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4" fillId="0" borderId="0" xfId="65" applyFont="1" applyFill="1" applyAlignment="1">
      <alignment vertical="center" wrapText="1"/>
      <protection/>
    </xf>
    <xf numFmtId="4" fontId="10" fillId="0" borderId="9" xfId="65" applyNumberFormat="1" applyFont="1" applyFill="1" applyBorder="1" applyAlignment="1">
      <alignment horizontal="center" vertical="center"/>
      <protection/>
    </xf>
    <xf numFmtId="43" fontId="3" fillId="0" borderId="9" xfId="22" applyFont="1" applyFill="1" applyBorder="1" applyAlignment="1">
      <alignment horizontal="right" vertical="center"/>
    </xf>
    <xf numFmtId="10" fontId="3" fillId="0" borderId="9" xfId="25" applyNumberFormat="1" applyFont="1" applyFill="1" applyBorder="1" applyAlignment="1">
      <alignment horizontal="right" vertical="center"/>
    </xf>
    <xf numFmtId="0" fontId="10" fillId="0" borderId="9" xfId="65" applyFont="1" applyFill="1" applyBorder="1" applyAlignment="1">
      <alignment horizontal="right" vertical="center"/>
      <protection/>
    </xf>
    <xf numFmtId="0" fontId="5" fillId="0" borderId="9" xfId="65" applyFont="1" applyFill="1" applyBorder="1">
      <alignment vertical="center"/>
      <protection/>
    </xf>
    <xf numFmtId="43" fontId="4" fillId="0" borderId="9" xfId="22" applyFont="1" applyFill="1" applyBorder="1" applyAlignment="1">
      <alignment horizontal="right" vertical="center"/>
    </xf>
    <xf numFmtId="10" fontId="4" fillId="0" borderId="9" xfId="25" applyNumberFormat="1" applyFont="1" applyFill="1" applyBorder="1" applyAlignment="1">
      <alignment horizontal="right" vertical="center"/>
    </xf>
    <xf numFmtId="10" fontId="4" fillId="0" borderId="9" xfId="25" applyNumberFormat="1" applyFont="1" applyFill="1" applyBorder="1" applyAlignment="1">
      <alignment horizontal="right" vertical="center"/>
    </xf>
    <xf numFmtId="0" fontId="1" fillId="0" borderId="9" xfId="65" applyFont="1" applyFill="1" applyBorder="1">
      <alignment vertical="center"/>
      <protection/>
    </xf>
    <xf numFmtId="177" fontId="12" fillId="0" borderId="0" xfId="65" applyNumberFormat="1" applyFont="1" applyFill="1">
      <alignment vertical="center"/>
      <protection/>
    </xf>
    <xf numFmtId="0" fontId="5" fillId="0" borderId="9" xfId="65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22" applyNumberFormat="1" applyFont="1" applyFill="1" applyAlignment="1">
      <alignment/>
    </xf>
    <xf numFmtId="43" fontId="5" fillId="0" borderId="0" xfId="22" applyFont="1" applyFill="1" applyAlignment="1">
      <alignment/>
    </xf>
    <xf numFmtId="9" fontId="5" fillId="0" borderId="0" xfId="0" applyNumberFormat="1" applyFont="1" applyFill="1" applyAlignment="1">
      <alignment/>
    </xf>
    <xf numFmtId="10" fontId="5" fillId="0" borderId="0" xfId="25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3" fontId="5" fillId="0" borderId="0" xfId="22" applyFont="1" applyFill="1" applyAlignment="1">
      <alignment horizontal="right" vertical="center"/>
    </xf>
    <xf numFmtId="9" fontId="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/>
    </xf>
    <xf numFmtId="178" fontId="14" fillId="0" borderId="0" xfId="22" applyNumberFormat="1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78" fontId="14" fillId="0" borderId="11" xfId="22" applyNumberFormat="1" applyFont="1" applyFill="1" applyBorder="1" applyAlignment="1">
      <alignment horizontal="center" vertical="center" wrapText="1"/>
    </xf>
    <xf numFmtId="179" fontId="18" fillId="0" borderId="12" xfId="64" applyNumberFormat="1" applyFont="1" applyFill="1" applyBorder="1" applyAlignment="1">
      <alignment horizontal="left" vertical="center"/>
      <protection/>
    </xf>
    <xf numFmtId="180" fontId="15" fillId="0" borderId="13" xfId="0" applyNumberFormat="1" applyFont="1" applyFill="1" applyBorder="1" applyAlignment="1">
      <alignment horizontal="center" vertical="center"/>
    </xf>
    <xf numFmtId="43" fontId="15" fillId="0" borderId="13" xfId="22" applyFont="1" applyFill="1" applyBorder="1" applyAlignment="1">
      <alignment horizontal="right" vertical="center"/>
    </xf>
    <xf numFmtId="179" fontId="19" fillId="0" borderId="14" xfId="64" applyNumberFormat="1" applyFont="1" applyFill="1" applyBorder="1" applyAlignment="1">
      <alignment horizontal="left" vertical="center" wrapText="1"/>
      <protection/>
    </xf>
    <xf numFmtId="180" fontId="14" fillId="0" borderId="9" xfId="0" applyNumberFormat="1" applyFont="1" applyFill="1" applyBorder="1" applyAlignment="1">
      <alignment horizontal="center" vertical="center"/>
    </xf>
    <xf numFmtId="181" fontId="14" fillId="0" borderId="9" xfId="0" applyNumberFormat="1" applyFont="1" applyFill="1" applyBorder="1" applyAlignment="1">
      <alignment horizontal="center" vertical="center"/>
    </xf>
    <xf numFmtId="43" fontId="14" fillId="0" borderId="9" xfId="22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left" vertical="center" wrapText="1"/>
      <protection/>
    </xf>
    <xf numFmtId="43" fontId="15" fillId="0" borderId="9" xfId="0" applyNumberFormat="1" applyFont="1" applyFill="1" applyBorder="1" applyAlignment="1">
      <alignment horizontal="center" vertical="center"/>
    </xf>
    <xf numFmtId="1" fontId="20" fillId="0" borderId="14" xfId="61" applyNumberFormat="1" applyFont="1" applyFill="1" applyBorder="1" applyAlignment="1" applyProtection="1">
      <alignment horizontal="left" vertical="center" wrapText="1"/>
      <protection locked="0"/>
    </xf>
    <xf numFmtId="180" fontId="15" fillId="0" borderId="9" xfId="0" applyNumberFormat="1" applyFont="1" applyFill="1" applyBorder="1" applyAlignment="1">
      <alignment horizontal="center" vertical="center"/>
    </xf>
    <xf numFmtId="43" fontId="15" fillId="0" borderId="9" xfId="22" applyFont="1" applyFill="1" applyBorder="1" applyAlignment="1">
      <alignment horizontal="right" vertical="center"/>
    </xf>
    <xf numFmtId="1" fontId="16" fillId="0" borderId="14" xfId="61" applyNumberFormat="1" applyFont="1" applyFill="1" applyBorder="1" applyAlignment="1" applyProtection="1">
      <alignment vertical="center" wrapText="1"/>
      <protection locked="0"/>
    </xf>
    <xf numFmtId="0" fontId="16" fillId="0" borderId="14" xfId="0" applyFont="1" applyFill="1" applyBorder="1" applyAlignment="1">
      <alignment vertical="center"/>
    </xf>
    <xf numFmtId="0" fontId="14" fillId="0" borderId="9" xfId="0" applyFont="1" applyFill="1" applyBorder="1" applyAlignment="1">
      <alignment/>
    </xf>
    <xf numFmtId="43" fontId="14" fillId="0" borderId="9" xfId="22" applyFont="1" applyFill="1" applyBorder="1" applyAlignment="1">
      <alignment horizontal="right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3" fontId="14" fillId="0" borderId="16" xfId="22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179" fontId="18" fillId="0" borderId="12" xfId="64" applyNumberFormat="1" applyFont="1" applyFill="1" applyBorder="1" applyAlignment="1">
      <alignment horizontal="left" vertical="center" wrapText="1"/>
      <protection/>
    </xf>
    <xf numFmtId="181" fontId="15" fillId="0" borderId="13" xfId="61" applyNumberFormat="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181" fontId="15" fillId="0" borderId="9" xfId="0" applyNumberFormat="1" applyFont="1" applyFill="1" applyBorder="1" applyAlignment="1">
      <alignment horizontal="center" vertical="center"/>
    </xf>
    <xf numFmtId="1" fontId="20" fillId="0" borderId="14" xfId="61" applyNumberFormat="1" applyFont="1" applyFill="1" applyBorder="1" applyAlignment="1" applyProtection="1">
      <alignment vertical="center" wrapText="1"/>
      <protection locked="0"/>
    </xf>
    <xf numFmtId="1" fontId="20" fillId="0" borderId="15" xfId="61" applyNumberFormat="1" applyFont="1" applyFill="1" applyBorder="1" applyAlignment="1" applyProtection="1">
      <alignment horizontal="center" vertical="center" wrapText="1"/>
      <protection locked="0"/>
    </xf>
    <xf numFmtId="180" fontId="15" fillId="0" borderId="16" xfId="0" applyNumberFormat="1" applyFont="1" applyFill="1" applyBorder="1" applyAlignment="1">
      <alignment horizontal="center" vertical="center"/>
    </xf>
    <xf numFmtId="181" fontId="15" fillId="0" borderId="16" xfId="0" applyNumberFormat="1" applyFont="1" applyFill="1" applyBorder="1" applyAlignment="1">
      <alignment horizontal="center" vertical="center"/>
    </xf>
    <xf numFmtId="43" fontId="15" fillId="0" borderId="16" xfId="22" applyFont="1" applyFill="1" applyBorder="1" applyAlignment="1">
      <alignment horizontal="right" vertical="center"/>
    </xf>
    <xf numFmtId="1" fontId="16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6" fillId="0" borderId="18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61" applyFont="1" applyFill="1" applyBorder="1" applyAlignment="1">
      <alignment horizontal="left" vertical="center" wrapText="1"/>
      <protection/>
    </xf>
    <xf numFmtId="181" fontId="15" fillId="0" borderId="13" xfId="0" applyNumberFormat="1" applyFont="1" applyFill="1" applyBorder="1" applyAlignment="1">
      <alignment horizontal="center" vertical="center"/>
    </xf>
    <xf numFmtId="43" fontId="15" fillId="0" borderId="13" xfId="0" applyNumberFormat="1" applyFont="1" applyFill="1" applyBorder="1" applyAlignment="1">
      <alignment horizontal="center" vertical="center"/>
    </xf>
    <xf numFmtId="0" fontId="20" fillId="0" borderId="15" xfId="61" applyFont="1" applyFill="1" applyBorder="1" applyAlignment="1">
      <alignment horizontal="center" vertical="center" wrapText="1"/>
      <protection/>
    </xf>
    <xf numFmtId="180" fontId="14" fillId="0" borderId="16" xfId="0" applyNumberFormat="1" applyFont="1" applyFill="1" applyBorder="1" applyAlignment="1">
      <alignment horizontal="center" vertical="center"/>
    </xf>
    <xf numFmtId="181" fontId="14" fillId="0" borderId="16" xfId="0" applyNumberFormat="1" applyFont="1" applyFill="1" applyBorder="1" applyAlignment="1">
      <alignment horizontal="center" vertical="center"/>
    </xf>
    <xf numFmtId="43" fontId="15" fillId="0" borderId="16" xfId="0" applyNumberFormat="1" applyFont="1" applyFill="1" applyBorder="1" applyAlignment="1">
      <alignment horizontal="center" vertical="center"/>
    </xf>
    <xf numFmtId="43" fontId="14" fillId="0" borderId="16" xfId="22" applyFont="1" applyFill="1" applyBorder="1" applyAlignment="1">
      <alignment horizontal="right" vertical="center"/>
    </xf>
    <xf numFmtId="0" fontId="20" fillId="0" borderId="19" xfId="6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/>
    </xf>
    <xf numFmtId="178" fontId="1" fillId="0" borderId="20" xfId="22" applyNumberFormat="1" applyFont="1" applyFill="1" applyBorder="1" applyAlignment="1">
      <alignment/>
    </xf>
    <xf numFmtId="0" fontId="21" fillId="0" borderId="0" xfId="0" applyFont="1" applyFill="1" applyAlignment="1">
      <alignment/>
    </xf>
    <xf numFmtId="178" fontId="1" fillId="0" borderId="0" xfId="22" applyNumberFormat="1" applyFont="1" applyFill="1" applyAlignment="1">
      <alignment/>
    </xf>
    <xf numFmtId="43" fontId="14" fillId="0" borderId="0" xfId="22" applyFont="1" applyFill="1" applyAlignment="1">
      <alignment/>
    </xf>
    <xf numFmtId="9" fontId="5" fillId="0" borderId="11" xfId="0" applyNumberFormat="1" applyFont="1" applyFill="1" applyBorder="1" applyAlignment="1">
      <alignment horizontal="center" vertical="center" wrapText="1"/>
    </xf>
    <xf numFmtId="43" fontId="14" fillId="0" borderId="11" xfId="22" applyFont="1" applyFill="1" applyBorder="1" applyAlignment="1">
      <alignment horizontal="center" vertical="center" wrapText="1"/>
    </xf>
    <xf numFmtId="9" fontId="22" fillId="0" borderId="11" xfId="0" applyNumberFormat="1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right" vertical="center"/>
    </xf>
    <xf numFmtId="10" fontId="14" fillId="0" borderId="9" xfId="0" applyNumberFormat="1" applyFont="1" applyFill="1" applyBorder="1" applyAlignment="1">
      <alignment horizontal="right" vertical="center"/>
    </xf>
    <xf numFmtId="10" fontId="15" fillId="0" borderId="9" xfId="0" applyNumberFormat="1" applyFont="1" applyFill="1" applyBorder="1" applyAlignment="1">
      <alignment horizontal="right" vertical="center"/>
    </xf>
    <xf numFmtId="10" fontId="14" fillId="0" borderId="16" xfId="0" applyNumberFormat="1" applyFont="1" applyFill="1" applyBorder="1" applyAlignment="1">
      <alignment horizontal="center" vertical="center"/>
    </xf>
    <xf numFmtId="10" fontId="15" fillId="0" borderId="16" xfId="0" applyNumberFormat="1" applyFont="1" applyFill="1" applyBorder="1" applyAlignment="1">
      <alignment horizontal="right" vertical="center"/>
    </xf>
    <xf numFmtId="10" fontId="14" fillId="0" borderId="16" xfId="0" applyNumberFormat="1" applyFont="1" applyFill="1" applyBorder="1" applyAlignment="1">
      <alignment horizontal="right" vertical="center"/>
    </xf>
    <xf numFmtId="43" fontId="23" fillId="0" borderId="20" xfId="22" applyNumberFormat="1" applyFont="1" applyFill="1" applyBorder="1" applyAlignment="1">
      <alignment/>
    </xf>
    <xf numFmtId="43" fontId="1" fillId="0" borderId="20" xfId="22" applyFont="1" applyFill="1" applyBorder="1" applyAlignment="1">
      <alignment/>
    </xf>
    <xf numFmtId="43" fontId="24" fillId="0" borderId="0" xfId="22" applyNumberFormat="1" applyFont="1" applyFill="1" applyAlignment="1">
      <alignment/>
    </xf>
    <xf numFmtId="43" fontId="1" fillId="0" borderId="0" xfId="22" applyFont="1" applyFill="1" applyAlignment="1">
      <alignment/>
    </xf>
    <xf numFmtId="178" fontId="25" fillId="0" borderId="0" xfId="22" applyNumberFormat="1" applyFont="1" applyFill="1" applyAlignment="1">
      <alignment/>
    </xf>
    <xf numFmtId="9" fontId="14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 horizontal="left"/>
    </xf>
    <xf numFmtId="0" fontId="22" fillId="0" borderId="11" xfId="0" applyNumberFormat="1" applyFont="1" applyFill="1" applyBorder="1" applyAlignment="1">
      <alignment horizontal="center" vertical="center" wrapText="1"/>
    </xf>
    <xf numFmtId="9" fontId="15" fillId="0" borderId="13" xfId="0" applyNumberFormat="1" applyFont="1" applyFill="1" applyBorder="1" applyAlignment="1">
      <alignment horizontal="center" vertical="center"/>
    </xf>
    <xf numFmtId="9" fontId="15" fillId="0" borderId="9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9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9" fontId="15" fillId="0" borderId="20" xfId="0" applyNumberFormat="1" applyFont="1" applyFill="1" applyBorder="1" applyAlignment="1">
      <alignment horizontal="center" vertical="center"/>
    </xf>
    <xf numFmtId="9" fontId="14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9" fontId="15" fillId="0" borderId="0" xfId="0" applyNumberFormat="1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9" fontId="15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top"/>
    </xf>
    <xf numFmtId="49" fontId="14" fillId="0" borderId="0" xfId="0" applyNumberFormat="1" applyFont="1" applyFill="1" applyBorder="1" applyAlignment="1">
      <alignment horizontal="right"/>
    </xf>
    <xf numFmtId="10" fontId="15" fillId="0" borderId="13" xfId="25" applyNumberFormat="1" applyFont="1" applyFill="1" applyBorder="1" applyAlignment="1">
      <alignment horizontal="right" vertical="center"/>
    </xf>
    <xf numFmtId="10" fontId="14" fillId="0" borderId="9" xfId="25" applyNumberFormat="1" applyFont="1" applyFill="1" applyBorder="1" applyAlignment="1">
      <alignment horizontal="right" vertical="center"/>
    </xf>
    <xf numFmtId="10" fontId="15" fillId="0" borderId="9" xfId="25" applyNumberFormat="1" applyFont="1" applyFill="1" applyBorder="1" applyAlignment="1">
      <alignment horizontal="right" vertical="center"/>
    </xf>
    <xf numFmtId="10" fontId="15" fillId="0" borderId="9" xfId="25" applyNumberFormat="1" applyFont="1" applyFill="1" applyBorder="1" applyAlignment="1">
      <alignment horizontal="center" vertical="center"/>
    </xf>
    <xf numFmtId="10" fontId="15" fillId="0" borderId="9" xfId="0" applyNumberFormat="1" applyFont="1" applyFill="1" applyBorder="1" applyAlignment="1">
      <alignment horizontal="center" vertical="center"/>
    </xf>
    <xf numFmtId="182" fontId="15" fillId="0" borderId="9" xfId="0" applyNumberFormat="1" applyFont="1" applyFill="1" applyBorder="1" applyAlignment="1">
      <alignment horizontal="right" vertical="center"/>
    </xf>
    <xf numFmtId="43" fontId="15" fillId="0" borderId="16" xfId="22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right"/>
    </xf>
    <xf numFmtId="43" fontId="15" fillId="0" borderId="13" xfId="22" applyFont="1" applyFill="1" applyBorder="1" applyAlignment="1">
      <alignment horizontal="center" vertical="center"/>
    </xf>
    <xf numFmtId="43" fontId="14" fillId="0" borderId="9" xfId="22" applyFont="1" applyFill="1" applyBorder="1" applyAlignment="1">
      <alignment horizontal="center" vertical="center"/>
    </xf>
    <xf numFmtId="43" fontId="15" fillId="0" borderId="9" xfId="22" applyFont="1" applyFill="1" applyBorder="1" applyAlignment="1">
      <alignment horizontal="center" vertical="center"/>
    </xf>
    <xf numFmtId="1" fontId="16" fillId="0" borderId="18" xfId="61" applyNumberFormat="1" applyFont="1" applyFill="1" applyBorder="1" applyAlignment="1" applyProtection="1">
      <alignment horizontal="right" vertical="center" wrapText="1"/>
      <protection locked="0"/>
    </xf>
    <xf numFmtId="10" fontId="15" fillId="0" borderId="13" xfId="25" applyNumberFormat="1" applyFont="1" applyFill="1" applyBorder="1" applyAlignment="1">
      <alignment horizontal="center" vertical="center"/>
    </xf>
    <xf numFmtId="10" fontId="15" fillId="0" borderId="13" xfId="0" applyNumberFormat="1" applyFont="1" applyFill="1" applyBorder="1" applyAlignment="1">
      <alignment horizontal="center" vertical="center"/>
    </xf>
    <xf numFmtId="10" fontId="15" fillId="0" borderId="16" xfId="25" applyNumberFormat="1" applyFont="1" applyFill="1" applyBorder="1" applyAlignment="1">
      <alignment horizontal="center" vertical="center"/>
    </xf>
    <xf numFmtId="10" fontId="15" fillId="0" borderId="16" xfId="0" applyNumberFormat="1" applyFont="1" applyFill="1" applyBorder="1" applyAlignment="1">
      <alignment horizontal="center" vertical="center"/>
    </xf>
    <xf numFmtId="43" fontId="15" fillId="0" borderId="20" xfId="22" applyFont="1" applyFill="1" applyBorder="1" applyAlignment="1">
      <alignment horizontal="center" vertical="center"/>
    </xf>
    <xf numFmtId="43" fontId="15" fillId="0" borderId="20" xfId="22" applyFont="1" applyFill="1" applyBorder="1" applyAlignment="1">
      <alignment horizontal="right" vertical="center"/>
    </xf>
    <xf numFmtId="43" fontId="15" fillId="0" borderId="0" xfId="0" applyNumberFormat="1" applyFont="1" applyFill="1" applyBorder="1" applyAlignment="1">
      <alignment horizontal="center" vertical="center"/>
    </xf>
    <xf numFmtId="10" fontId="15" fillId="0" borderId="0" xfId="25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182" fontId="15" fillId="0" borderId="0" xfId="0" applyNumberFormat="1" applyFont="1" applyFill="1" applyAlignment="1">
      <alignment horizontal="right" vertical="center"/>
    </xf>
    <xf numFmtId="10" fontId="1" fillId="0" borderId="0" xfId="25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82" fontId="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179" fontId="18" fillId="0" borderId="13" xfId="64" applyNumberFormat="1" applyFont="1" applyFill="1" applyBorder="1" applyAlignment="1">
      <alignment horizontal="left" vertical="center"/>
      <protection/>
    </xf>
    <xf numFmtId="0" fontId="16" fillId="0" borderId="9" xfId="0" applyFont="1" applyFill="1" applyBorder="1" applyAlignment="1">
      <alignment vertical="center"/>
    </xf>
    <xf numFmtId="0" fontId="14" fillId="0" borderId="9" xfId="0" applyNumberFormat="1" applyFont="1" applyFill="1" applyBorder="1" applyAlignment="1">
      <alignment horizontal="center" vertical="center"/>
    </xf>
    <xf numFmtId="1" fontId="16" fillId="0" borderId="9" xfId="61" applyNumberFormat="1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1" fontId="20" fillId="0" borderId="9" xfId="61" applyNumberFormat="1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" fontId="20" fillId="0" borderId="16" xfId="61" applyNumberFormat="1" applyFont="1" applyFill="1" applyBorder="1" applyAlignment="1" applyProtection="1">
      <alignment horizontal="center" vertical="center"/>
      <protection locked="0"/>
    </xf>
    <xf numFmtId="43" fontId="14" fillId="0" borderId="16" xfId="0" applyNumberFormat="1" applyFont="1" applyFill="1" applyBorder="1" applyAlignment="1">
      <alignment horizontal="center" vertical="center"/>
    </xf>
    <xf numFmtId="10" fontId="15" fillId="0" borderId="22" xfId="0" applyNumberFormat="1" applyFont="1" applyFill="1" applyBorder="1" applyAlignment="1">
      <alignment horizontal="center" vertical="center"/>
    </xf>
    <xf numFmtId="0" fontId="20" fillId="0" borderId="20" xfId="6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14" fillId="0" borderId="0" xfId="0" applyNumberFormat="1" applyFont="1" applyFill="1" applyAlignment="1">
      <alignment horizontal="right" vertical="center"/>
    </xf>
    <xf numFmtId="43" fontId="14" fillId="0" borderId="0" xfId="22" applyFont="1" applyFill="1" applyAlignment="1">
      <alignment horizontal="right" vertical="center"/>
    </xf>
    <xf numFmtId="183" fontId="14" fillId="0" borderId="9" xfId="0" applyNumberFormat="1" applyFont="1" applyFill="1" applyBorder="1" applyAlignment="1">
      <alignment horizontal="center" vertical="center"/>
    </xf>
    <xf numFmtId="183" fontId="15" fillId="0" borderId="16" xfId="0" applyNumberFormat="1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 horizontal="center" vertical="center"/>
    </xf>
    <xf numFmtId="43" fontId="14" fillId="0" borderId="13" xfId="22" applyFont="1" applyFill="1" applyBorder="1" applyAlignment="1">
      <alignment horizontal="right" vertical="center"/>
    </xf>
    <xf numFmtId="10" fontId="14" fillId="0" borderId="13" xfId="0" applyNumberFormat="1" applyFont="1" applyFill="1" applyBorder="1" applyAlignment="1">
      <alignment horizontal="right" vertical="center"/>
    </xf>
    <xf numFmtId="43" fontId="1" fillId="0" borderId="20" xfId="22" applyFont="1" applyFill="1" applyBorder="1" applyAlignment="1">
      <alignment horizontal="center" vertical="center"/>
    </xf>
    <xf numFmtId="43" fontId="1" fillId="0" borderId="0" xfId="22" applyFont="1" applyFill="1" applyAlignment="1">
      <alignment horizontal="center" vertical="center"/>
    </xf>
    <xf numFmtId="43" fontId="5" fillId="0" borderId="0" xfId="22" applyFont="1" applyFill="1" applyAlignment="1">
      <alignment horizontal="center" vertical="center"/>
    </xf>
    <xf numFmtId="9" fontId="16" fillId="0" borderId="0" xfId="0" applyNumberFormat="1" applyFont="1" applyFill="1" applyAlignment="1">
      <alignment horizontal="right"/>
    </xf>
    <xf numFmtId="9" fontId="14" fillId="0" borderId="0" xfId="0" applyNumberFormat="1" applyFont="1" applyFill="1" applyAlignment="1">
      <alignment horizontal="right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9" fontId="1" fillId="0" borderId="20" xfId="0" applyNumberFormat="1" applyFont="1" applyFill="1" applyBorder="1" applyAlignment="1">
      <alignment horizontal="center" vertical="center"/>
    </xf>
    <xf numFmtId="10" fontId="1" fillId="0" borderId="2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0" fontId="26" fillId="0" borderId="0" xfId="0" applyNumberFormat="1" applyFont="1" applyFill="1" applyAlignment="1">
      <alignment/>
    </xf>
    <xf numFmtId="182" fontId="15" fillId="0" borderId="13" xfId="0" applyNumberFormat="1" applyFont="1" applyFill="1" applyBorder="1" applyAlignment="1">
      <alignment horizontal="right" vertical="center"/>
    </xf>
    <xf numFmtId="10" fontId="14" fillId="0" borderId="13" xfId="0" applyNumberFormat="1" applyFont="1" applyFill="1" applyBorder="1" applyAlignment="1">
      <alignment horizontal="center" vertical="center"/>
    </xf>
    <xf numFmtId="10" fontId="14" fillId="0" borderId="9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43" fontId="14" fillId="0" borderId="23" xfId="22" applyFont="1" applyFill="1" applyBorder="1" applyAlignment="1">
      <alignment horizontal="center" vertical="center" wrapText="1"/>
    </xf>
    <xf numFmtId="43" fontId="14" fillId="0" borderId="24" xfId="22" applyFont="1" applyFill="1" applyBorder="1" applyAlignment="1">
      <alignment horizontal="center" vertical="center" wrapText="1"/>
    </xf>
    <xf numFmtId="10" fontId="15" fillId="0" borderId="25" xfId="0" applyNumberFormat="1" applyFont="1" applyFill="1" applyBorder="1" applyAlignment="1">
      <alignment horizontal="center" vertical="center"/>
    </xf>
    <xf numFmtId="10" fontId="15" fillId="0" borderId="24" xfId="25" applyNumberFormat="1" applyFont="1" applyFill="1" applyBorder="1" applyAlignment="1">
      <alignment horizontal="center" vertical="center"/>
    </xf>
    <xf numFmtId="10" fontId="14" fillId="0" borderId="24" xfId="25" applyNumberFormat="1" applyFont="1" applyFill="1" applyBorder="1" applyAlignment="1">
      <alignment horizontal="center" vertical="center"/>
    </xf>
    <xf numFmtId="43" fontId="14" fillId="0" borderId="26" xfId="22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/>
    </xf>
    <xf numFmtId="182" fontId="14" fillId="0" borderId="9" xfId="0" applyNumberFormat="1" applyFont="1" applyFill="1" applyBorder="1" applyAlignment="1">
      <alignment horizontal="right" vertical="center"/>
    </xf>
    <xf numFmtId="43" fontId="14" fillId="0" borderId="26" xfId="22" applyFont="1" applyFill="1" applyBorder="1" applyAlignment="1">
      <alignment horizontal="right" vertical="center"/>
    </xf>
    <xf numFmtId="43" fontId="14" fillId="0" borderId="24" xfId="22" applyFont="1" applyFill="1" applyBorder="1" applyAlignment="1">
      <alignment horizontal="right" vertical="center"/>
    </xf>
    <xf numFmtId="10" fontId="15" fillId="0" borderId="26" xfId="0" applyNumberFormat="1" applyFont="1" applyFill="1" applyBorder="1" applyAlignment="1">
      <alignment horizontal="center" vertical="center"/>
    </xf>
    <xf numFmtId="10" fontId="14" fillId="0" borderId="26" xfId="0" applyNumberFormat="1" applyFont="1" applyFill="1" applyBorder="1" applyAlignment="1">
      <alignment horizontal="center" vertical="center"/>
    </xf>
    <xf numFmtId="43" fontId="15" fillId="0" borderId="24" xfId="22" applyFont="1" applyFill="1" applyBorder="1" applyAlignment="1">
      <alignment horizontal="right" vertical="center"/>
    </xf>
    <xf numFmtId="1" fontId="16" fillId="0" borderId="27" xfId="61" applyNumberFormat="1" applyFont="1" applyFill="1" applyBorder="1" applyAlignment="1" applyProtection="1">
      <alignment horizontal="center" vertical="center" wrapText="1"/>
      <protection locked="0"/>
    </xf>
    <xf numFmtId="10" fontId="15" fillId="0" borderId="28" xfId="0" applyNumberFormat="1" applyFont="1" applyFill="1" applyBorder="1" applyAlignment="1">
      <alignment horizontal="center" vertical="center"/>
    </xf>
    <xf numFmtId="10" fontId="14" fillId="0" borderId="9" xfId="25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/>
    </xf>
    <xf numFmtId="182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1" fillId="0" borderId="9" xfId="25" applyNumberFormat="1" applyFont="1" applyFill="1" applyBorder="1" applyAlignment="1">
      <alignment horizontal="center" vertical="center"/>
    </xf>
    <xf numFmtId="10" fontId="1" fillId="0" borderId="0" xfId="25" applyNumberFormat="1" applyFont="1" applyFill="1" applyAlignment="1">
      <alignment horizontal="center" vertical="center"/>
    </xf>
    <xf numFmtId="10" fontId="5" fillId="0" borderId="0" xfId="25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08年镇区预算收支报表" xfId="61"/>
    <cellStyle name="40% - 强调文字颜色 6" xfId="62"/>
    <cellStyle name="60% - 强调文字颜色 6" xfId="63"/>
    <cellStyle name="常规_2008年预算收支草案" xfId="64"/>
    <cellStyle name="常规_2016预算报告附件2&amp;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55"/>
  <sheetViews>
    <sheetView tabSelected="1" zoomScale="55" zoomScaleNormal="55" workbookViewId="0" topLeftCell="A1">
      <pane xSplit="27" ySplit="4" topLeftCell="AB19" activePane="bottomRight" state="frozen"/>
      <selection pane="bottomRight" activeCell="BY38" sqref="BY38"/>
    </sheetView>
  </sheetViews>
  <sheetFormatPr defaultColWidth="9.00390625" defaultRowHeight="14.25"/>
  <cols>
    <col min="1" max="1" width="41.875" style="92" customWidth="1"/>
    <col min="2" max="2" width="0.875" style="93" hidden="1" customWidth="1"/>
    <col min="3" max="3" width="10.625" style="93" hidden="1" customWidth="1"/>
    <col min="4" max="5" width="16.625" style="93" hidden="1" customWidth="1"/>
    <col min="6" max="6" width="16.375" style="93" hidden="1" customWidth="1"/>
    <col min="7" max="7" width="16.625" style="93" hidden="1" customWidth="1"/>
    <col min="8" max="11" width="16.625" style="94" hidden="1" customWidth="1"/>
    <col min="12" max="12" width="16.625" style="93" hidden="1" customWidth="1"/>
    <col min="13" max="13" width="16.625" style="95" hidden="1" customWidth="1"/>
    <col min="14" max="14" width="17.625" style="95" hidden="1" customWidth="1"/>
    <col min="15" max="16" width="16.625" style="93" hidden="1" customWidth="1"/>
    <col min="17" max="19" width="16.625" style="96" hidden="1" customWidth="1"/>
    <col min="20" max="20" width="16.625" style="93" hidden="1" customWidth="1"/>
    <col min="21" max="21" width="15.50390625" style="96" hidden="1" customWidth="1"/>
    <col min="22" max="22" width="16.625" style="96" hidden="1" customWidth="1"/>
    <col min="23" max="24" width="17.625" style="96" hidden="1" customWidth="1"/>
    <col min="25" max="27" width="16.625" style="96" hidden="1" customWidth="1"/>
    <col min="28" max="28" width="15.625" style="96" customWidth="1"/>
    <col min="29" max="29" width="17.625" style="97" hidden="1" customWidth="1"/>
    <col min="30" max="30" width="17.625" style="98" hidden="1" customWidth="1"/>
    <col min="31" max="31" width="15.625" style="98" customWidth="1"/>
    <col min="32" max="32" width="15.625" style="99" customWidth="1"/>
    <col min="33" max="34" width="14.625" style="98" customWidth="1"/>
    <col min="35" max="35" width="36.125" style="92" customWidth="1"/>
    <col min="36" max="36" width="7.50390625" style="93" hidden="1" customWidth="1"/>
    <col min="37" max="37" width="12.125" style="93" hidden="1" customWidth="1"/>
    <col min="38" max="46" width="16.625" style="100" hidden="1" customWidth="1"/>
    <col min="47" max="47" width="16.625" style="101" hidden="1" customWidth="1"/>
    <col min="48" max="48" width="17.625" style="101" hidden="1" customWidth="1"/>
    <col min="49" max="50" width="16.625" style="100" hidden="1" customWidth="1"/>
    <col min="51" max="53" width="16.625" style="102" hidden="1" customWidth="1"/>
    <col min="54" max="54" width="16.625" style="100" hidden="1" customWidth="1"/>
    <col min="55" max="55" width="16.625" style="102" hidden="1" customWidth="1"/>
    <col min="56" max="56" width="16.625" style="96" hidden="1" customWidth="1"/>
    <col min="57" max="58" width="17.625" style="96" hidden="1" customWidth="1"/>
    <col min="59" max="61" width="16.625" style="96" hidden="1" customWidth="1"/>
    <col min="62" max="62" width="16.75390625" style="96" customWidth="1"/>
    <col min="63" max="63" width="17.625" style="98" hidden="1" customWidth="1"/>
    <col min="64" max="65" width="15.625" style="98" customWidth="1"/>
    <col min="66" max="67" width="14.625" style="98" customWidth="1"/>
    <col min="68" max="68" width="17.625" style="97" hidden="1" customWidth="1"/>
    <col min="69" max="71" width="9.00390625" style="93" customWidth="1"/>
    <col min="72" max="72" width="20.50390625" style="93" customWidth="1"/>
    <col min="73" max="16384" width="9.00390625" style="93" customWidth="1"/>
  </cols>
  <sheetData>
    <row r="1" ht="20.25">
      <c r="A1" s="103" t="s">
        <v>0</v>
      </c>
    </row>
    <row r="2" spans="1:68" s="87" customFormat="1" ht="36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89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</row>
    <row r="3" spans="1:68" s="88" customFormat="1" ht="28.5" customHeight="1">
      <c r="A3" s="105" t="s">
        <v>2</v>
      </c>
      <c r="H3" s="106"/>
      <c r="I3" s="106"/>
      <c r="J3" s="106"/>
      <c r="K3" s="106"/>
      <c r="M3" s="158"/>
      <c r="N3" s="158"/>
      <c r="Q3" s="173"/>
      <c r="R3" s="173"/>
      <c r="S3" s="173"/>
      <c r="U3" s="173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90"/>
      <c r="AG3" s="174"/>
      <c r="AH3" s="174"/>
      <c r="AI3" s="174"/>
      <c r="AL3" s="217"/>
      <c r="AM3" s="217"/>
      <c r="AN3" s="217"/>
      <c r="AO3" s="217"/>
      <c r="AP3" s="217"/>
      <c r="AQ3" s="217"/>
      <c r="AR3" s="217"/>
      <c r="AS3" s="240"/>
      <c r="AT3" s="217"/>
      <c r="AU3" s="241"/>
      <c r="AV3" s="241"/>
      <c r="AW3" s="217"/>
      <c r="AX3" s="250" t="s">
        <v>3</v>
      </c>
      <c r="AY3" s="251"/>
      <c r="AZ3" s="251"/>
      <c r="BA3" s="250" t="s">
        <v>3</v>
      </c>
      <c r="BC3" s="251"/>
      <c r="BK3" s="257"/>
      <c r="BL3" s="257"/>
      <c r="BM3" s="257"/>
      <c r="BN3" s="257"/>
      <c r="BO3" s="257" t="s">
        <v>4</v>
      </c>
      <c r="BP3" s="257" t="s">
        <v>4</v>
      </c>
    </row>
    <row r="4" spans="1:68" s="88" customFormat="1" ht="60" customHeight="1">
      <c r="A4" s="107" t="s">
        <v>5</v>
      </c>
      <c r="B4" s="108" t="s">
        <v>6</v>
      </c>
      <c r="C4" s="108" t="s">
        <v>7</v>
      </c>
      <c r="D4" s="109" t="s">
        <v>8</v>
      </c>
      <c r="E4" s="109" t="s">
        <v>9</v>
      </c>
      <c r="F4" s="109" t="s">
        <v>10</v>
      </c>
      <c r="G4" s="109" t="s">
        <v>11</v>
      </c>
      <c r="H4" s="110" t="s">
        <v>12</v>
      </c>
      <c r="I4" s="110" t="s">
        <v>13</v>
      </c>
      <c r="J4" s="110" t="s">
        <v>14</v>
      </c>
      <c r="K4" s="110" t="s">
        <v>15</v>
      </c>
      <c r="L4" s="159" t="s">
        <v>16</v>
      </c>
      <c r="M4" s="160" t="s">
        <v>17</v>
      </c>
      <c r="N4" s="160" t="s">
        <v>18</v>
      </c>
      <c r="O4" s="161" t="s">
        <v>19</v>
      </c>
      <c r="P4" s="159" t="s">
        <v>20</v>
      </c>
      <c r="Q4" s="159" t="s">
        <v>21</v>
      </c>
      <c r="R4" s="161" t="s">
        <v>22</v>
      </c>
      <c r="S4" s="159" t="s">
        <v>23</v>
      </c>
      <c r="T4" s="175" t="s">
        <v>24</v>
      </c>
      <c r="U4" s="161" t="s">
        <v>25</v>
      </c>
      <c r="V4" s="161" t="s">
        <v>26</v>
      </c>
      <c r="W4" s="160" t="s">
        <v>27</v>
      </c>
      <c r="X4" s="160" t="s">
        <v>28</v>
      </c>
      <c r="Y4" s="160"/>
      <c r="Z4" s="160" t="s">
        <v>29</v>
      </c>
      <c r="AA4" s="160" t="s">
        <v>30</v>
      </c>
      <c r="AB4" s="160" t="s">
        <v>31</v>
      </c>
      <c r="AC4" s="160" t="s">
        <v>32</v>
      </c>
      <c r="AD4" s="160" t="s">
        <v>33</v>
      </c>
      <c r="AE4" s="160" t="s">
        <v>34</v>
      </c>
      <c r="AF4" s="160" t="s">
        <v>35</v>
      </c>
      <c r="AG4" s="160" t="s">
        <v>36</v>
      </c>
      <c r="AH4" s="160" t="s">
        <v>37</v>
      </c>
      <c r="AI4" s="218" t="s">
        <v>38</v>
      </c>
      <c r="AJ4" s="108" t="s">
        <v>6</v>
      </c>
      <c r="AK4" s="108" t="s">
        <v>7</v>
      </c>
      <c r="AL4" s="108" t="s">
        <v>8</v>
      </c>
      <c r="AM4" s="109" t="s">
        <v>9</v>
      </c>
      <c r="AN4" s="109" t="s">
        <v>10</v>
      </c>
      <c r="AO4" s="109" t="s">
        <v>39</v>
      </c>
      <c r="AP4" s="109" t="s">
        <v>12</v>
      </c>
      <c r="AQ4" s="109" t="s">
        <v>13</v>
      </c>
      <c r="AR4" s="109" t="s">
        <v>14</v>
      </c>
      <c r="AS4" s="109" t="s">
        <v>15</v>
      </c>
      <c r="AT4" s="159" t="s">
        <v>16</v>
      </c>
      <c r="AU4" s="160" t="s">
        <v>17</v>
      </c>
      <c r="AV4" s="160" t="s">
        <v>18</v>
      </c>
      <c r="AW4" s="161" t="s">
        <v>19</v>
      </c>
      <c r="AX4" s="159" t="s">
        <v>20</v>
      </c>
      <c r="AY4" s="159" t="s">
        <v>21</v>
      </c>
      <c r="AZ4" s="161" t="s">
        <v>22</v>
      </c>
      <c r="BA4" s="159" t="s">
        <v>23</v>
      </c>
      <c r="BB4" s="175" t="s">
        <v>24</v>
      </c>
      <c r="BC4" s="161" t="s">
        <v>25</v>
      </c>
      <c r="BD4" s="161" t="s">
        <v>26</v>
      </c>
      <c r="BE4" s="160" t="s">
        <v>27</v>
      </c>
      <c r="BF4" s="160" t="s">
        <v>28</v>
      </c>
      <c r="BG4" s="160"/>
      <c r="BH4" s="160" t="s">
        <v>29</v>
      </c>
      <c r="BI4" s="160" t="s">
        <v>30</v>
      </c>
      <c r="BJ4" s="160" t="s">
        <v>31</v>
      </c>
      <c r="BK4" s="160" t="s">
        <v>32</v>
      </c>
      <c r="BL4" s="160" t="s">
        <v>34</v>
      </c>
      <c r="BM4" s="160" t="s">
        <v>40</v>
      </c>
      <c r="BN4" s="160" t="s">
        <v>36</v>
      </c>
      <c r="BO4" s="262" t="s">
        <v>37</v>
      </c>
      <c r="BP4" s="263" t="s">
        <v>41</v>
      </c>
    </row>
    <row r="5" spans="1:68" s="89" customFormat="1" ht="33.75" customHeight="1">
      <c r="A5" s="111" t="s">
        <v>42</v>
      </c>
      <c r="B5" s="112" t="e">
        <f>B6+B7+#REF!</f>
        <v>#REF!</v>
      </c>
      <c r="C5" s="112" t="e">
        <f>C6+C7+#REF!</f>
        <v>#REF!</v>
      </c>
      <c r="D5" s="112" t="e">
        <f aca="true" t="shared" si="0" ref="D5:J5">D6+D7</f>
        <v>#REF!</v>
      </c>
      <c r="E5" s="112" t="e">
        <f t="shared" si="0"/>
        <v>#REF!</v>
      </c>
      <c r="F5" s="112" t="e">
        <f t="shared" si="0"/>
        <v>#REF!</v>
      </c>
      <c r="G5" s="112" t="e">
        <f t="shared" si="0"/>
        <v>#REF!</v>
      </c>
      <c r="H5" s="113" t="e">
        <f t="shared" si="0"/>
        <v>#REF!</v>
      </c>
      <c r="I5" s="113" t="e">
        <f t="shared" si="0"/>
        <v>#REF!</v>
      </c>
      <c r="J5" s="113" t="e">
        <f t="shared" si="0"/>
        <v>#REF!</v>
      </c>
      <c r="K5" s="113">
        <f>K6+K7-0.01</f>
        <v>17084.510000000002</v>
      </c>
      <c r="L5" s="162" t="e">
        <f aca="true" t="shared" si="1" ref="L5:L15">J5/H5-1</f>
        <v>#REF!</v>
      </c>
      <c r="M5" s="113">
        <f>M6+M7</f>
        <v>14480.83</v>
      </c>
      <c r="N5" s="113">
        <f>N6+N7</f>
        <v>14674.21</v>
      </c>
      <c r="O5" s="162" t="e">
        <f aca="true" t="shared" si="2" ref="O5:O15">J5/I5</f>
        <v>#REF!</v>
      </c>
      <c r="P5" s="162" t="e">
        <f aca="true" t="shared" si="3" ref="P5:P15">K5/J5-1</f>
        <v>#REF!</v>
      </c>
      <c r="Q5" s="176" t="e">
        <f aca="true" t="shared" si="4" ref="Q5:Q11">(H5-F5)/F5</f>
        <v>#REF!</v>
      </c>
      <c r="R5" s="176" t="e">
        <f aca="true" t="shared" si="5" ref="R5:R15">H5/G5</f>
        <v>#REF!</v>
      </c>
      <c r="S5" s="176" t="e">
        <f aca="true" t="shared" si="6" ref="S5:S15">(I5-H5)/H5</f>
        <v>#REF!</v>
      </c>
      <c r="T5" s="176" t="e">
        <f aca="true" t="shared" si="7" ref="T5:T10">(F5-D5)/D5</f>
        <v>#REF!</v>
      </c>
      <c r="U5" s="176" t="e">
        <f aca="true" t="shared" si="8" ref="U5:U10">F5/E5</f>
        <v>#REF!</v>
      </c>
      <c r="V5" s="176" t="e">
        <f aca="true" t="shared" si="9" ref="V5:V10">(G5-F5)/F5</f>
        <v>#REF!</v>
      </c>
      <c r="W5" s="113" t="e">
        <f>W6+W7</f>
        <v>#REF!</v>
      </c>
      <c r="X5" s="113">
        <f>X6+X7+0.01</f>
        <v>16068.640000000001</v>
      </c>
      <c r="Y5" s="113" t="e">
        <f>X5-W5</f>
        <v>#REF!</v>
      </c>
      <c r="Z5" s="113">
        <v>14286.7</v>
      </c>
      <c r="AA5" s="113">
        <v>14077.62</v>
      </c>
      <c r="AB5" s="113">
        <f aca="true" t="shared" si="10" ref="AB5:AF5">AB6+AB7</f>
        <v>12452.869999999999</v>
      </c>
      <c r="AC5" s="191" t="e">
        <f aca="true" t="shared" si="11" ref="AC5:AC15">W5/N5</f>
        <v>#REF!</v>
      </c>
      <c r="AD5" s="162" t="e">
        <f aca="true" t="shared" si="12" ref="AD5:AD15">X5/W5-1</f>
        <v>#REF!</v>
      </c>
      <c r="AE5" s="113">
        <f t="shared" si="10"/>
        <v>12441.84</v>
      </c>
      <c r="AF5" s="113">
        <f t="shared" si="10"/>
        <v>11926.630000000001</v>
      </c>
      <c r="AG5" s="204">
        <f>AE5/AB5</f>
        <v>0.9991142604074403</v>
      </c>
      <c r="AH5" s="204">
        <f>AF5/AE5-1</f>
        <v>-0.041409469981931846</v>
      </c>
      <c r="AI5" s="219" t="s">
        <v>43</v>
      </c>
      <c r="AJ5" s="146" t="e">
        <f>AJ6+AJ9+AJ10+AJ11+AJ12+AJ13+AJ14+AJ15+AJ16+AJ17+AJ18+AJ19+#REF!+#REF!</f>
        <v>#REF!</v>
      </c>
      <c r="AK5" s="146" t="e">
        <f>AK6+AK9+AK10+AK11+AK12+AK13+AK14+AK15+AK16+AK17+AK18+AK19+#REF!+#REF!</f>
        <v>#REF!</v>
      </c>
      <c r="AL5" s="146" t="e">
        <f>AL6+AL9+AL10+AL11+AL12+AL13+AL14+AL15+AL16+AL17+AL18+AL19+#REF!+#REF!+#REF!+#REF!+AL20+#REF!+#REF!</f>
        <v>#REF!</v>
      </c>
      <c r="AM5" s="146" t="e">
        <f>AM6+AM9+AM10+AM11+AM12+AM13+AM14+AM15+AM16+AM17+AM18+AM19+#REF!+#REF!+#REF!+#REF!+AM20+#REF!+#REF!</f>
        <v>#REF!</v>
      </c>
      <c r="AN5" s="146" t="e">
        <f>AN6+AN9+AN10+AN11+AN12+AN13+AN14+AN15+AN16+AN17+AN18+AN19+#REF!+#REF!+#REF!+#REF!+AN20+#REF!+#REF!+#REF!</f>
        <v>#REF!</v>
      </c>
      <c r="AO5" s="146" t="e">
        <f>AO6+AO9+AO10+AO11+AO12+AO13+AO14+AO15+AO16+AO17+AO18+AO19+#REF!+#REF!+#REF!+#REF!+AO20+#REF!+#REF!+#REF!+#REF!</f>
        <v>#REF!</v>
      </c>
      <c r="AP5" s="113" t="e">
        <f>SUM(AP6:AP13)+AP14+AP15+AP16+AP17+AP18+AP19+AP20+#REF!+#REF!+#REF!+#REF!+#REF!+#REF!+#REF!</f>
        <v>#REF!</v>
      </c>
      <c r="AQ5" s="113" t="e">
        <f>SUM(AQ6:AQ13)+AQ14+AQ15+AQ16+AQ17+AQ18+AQ19+AQ20+#REF!+#REF!+#REF!+#REF!+#REF!+#REF!+#REF!</f>
        <v>#REF!</v>
      </c>
      <c r="AR5" s="113" t="e">
        <f>SUM(AR6:AR13)+AR14+AR15+AR16+AR17+AR18+AR19+AR20+#REF!+#REF!+#REF!+#REF!+#REF!+#REF!+#REF!</f>
        <v>#REF!</v>
      </c>
      <c r="AS5" s="113">
        <v>32991.12</v>
      </c>
      <c r="AT5" s="162" t="e">
        <f aca="true" t="shared" si="13" ref="AT5:AT21">AR5/AP5-1</f>
        <v>#REF!</v>
      </c>
      <c r="AU5" s="113">
        <v>27698.31</v>
      </c>
      <c r="AV5" s="113">
        <v>32264.12</v>
      </c>
      <c r="AW5" s="162" t="e">
        <f aca="true" t="shared" si="14" ref="AW5:AW21">AR5/AQ5</f>
        <v>#REF!</v>
      </c>
      <c r="AX5" s="162" t="e">
        <f aca="true" t="shared" si="15" ref="AX5:AX10">AS5/AR5-1</f>
        <v>#REF!</v>
      </c>
      <c r="AY5" s="176" t="e">
        <f aca="true" t="shared" si="16" ref="AY5:AY13">(AP5-AN5)/AN5</f>
        <v>#REF!</v>
      </c>
      <c r="AZ5" s="176" t="e">
        <f aca="true" t="shared" si="17" ref="AZ5:AZ13">AP5/AO5</f>
        <v>#REF!</v>
      </c>
      <c r="BA5" s="176" t="e">
        <f aca="true" t="shared" si="18" ref="BA5:BA13">(AQ5-AP5)/AP5</f>
        <v>#REF!</v>
      </c>
      <c r="BB5" s="176" t="e">
        <f aca="true" t="shared" si="19" ref="BB5:BB13">(AN5-AL5)/AL5</f>
        <v>#REF!</v>
      </c>
      <c r="BC5" s="176" t="e">
        <f aca="true" t="shared" si="20" ref="BC5:BC13">AN5/AM5</f>
        <v>#REF!</v>
      </c>
      <c r="BD5" s="176" t="e">
        <f aca="true" t="shared" si="21" ref="BD5:BD13">(AO5-AN5)/AN5</f>
        <v>#REF!</v>
      </c>
      <c r="BE5" s="113">
        <v>28452.81</v>
      </c>
      <c r="BF5" s="147">
        <f>SUM(BF6:BF37)</f>
        <v>42149.700000000004</v>
      </c>
      <c r="BG5" s="147">
        <f>BF5-BE5</f>
        <v>13696.890000000003</v>
      </c>
      <c r="BH5" s="147">
        <v>40276.68</v>
      </c>
      <c r="BI5" s="147">
        <v>36490.8</v>
      </c>
      <c r="BJ5" s="113">
        <f aca="true" t="shared" si="22" ref="BJ5:BM5">SUM(BJ6:BJ31)</f>
        <v>36314.08000000001</v>
      </c>
      <c r="BK5" s="113">
        <f aca="true" t="shared" si="23" ref="BK5:BK21">BE5/AV5</f>
        <v>0.8818715650698051</v>
      </c>
      <c r="BL5" s="113">
        <f t="shared" si="22"/>
        <v>33875.84000000001</v>
      </c>
      <c r="BM5" s="113">
        <f t="shared" si="22"/>
        <v>39705.28999999999</v>
      </c>
      <c r="BN5" s="204">
        <f aca="true" t="shared" si="24" ref="BN5:BN21">BL5/BJ5</f>
        <v>0.9328568973797492</v>
      </c>
      <c r="BO5" s="264">
        <f>BM5/BL5-1</f>
        <v>0.17208281772496203</v>
      </c>
      <c r="BP5" s="265">
        <f aca="true" t="shared" si="25" ref="BP5:BP20">BF5/BE5-1</f>
        <v>0.4813897115961483</v>
      </c>
    </row>
    <row r="6" spans="1:68" s="88" customFormat="1" ht="33.75" customHeight="1">
      <c r="A6" s="114" t="s">
        <v>44</v>
      </c>
      <c r="B6" s="115"/>
      <c r="C6" s="115"/>
      <c r="D6" s="116">
        <v>10802</v>
      </c>
      <c r="E6" s="116">
        <v>12605</v>
      </c>
      <c r="F6" s="116">
        <v>10838</v>
      </c>
      <c r="G6" s="116">
        <v>8309</v>
      </c>
      <c r="H6" s="117">
        <v>4968</v>
      </c>
      <c r="I6" s="117">
        <v>5876</v>
      </c>
      <c r="J6" s="117">
        <v>5945.09</v>
      </c>
      <c r="K6" s="117">
        <v>7527.31</v>
      </c>
      <c r="L6" s="163">
        <f t="shared" si="1"/>
        <v>0.19667673107890504</v>
      </c>
      <c r="M6" s="117">
        <v>6696.78</v>
      </c>
      <c r="N6" s="117">
        <v>7613</v>
      </c>
      <c r="O6" s="163">
        <f t="shared" si="2"/>
        <v>1.0117579986385297</v>
      </c>
      <c r="P6" s="163">
        <f t="shared" si="3"/>
        <v>0.266138948274963</v>
      </c>
      <c r="Q6" s="177">
        <f t="shared" si="4"/>
        <v>-0.5416128436980993</v>
      </c>
      <c r="R6" s="177">
        <f t="shared" si="5"/>
        <v>0.5979058851847394</v>
      </c>
      <c r="S6" s="177">
        <f t="shared" si="6"/>
        <v>0.18276972624798712</v>
      </c>
      <c r="T6" s="177">
        <f t="shared" si="7"/>
        <v>0.0033327161636733937</v>
      </c>
      <c r="U6" s="177">
        <f t="shared" si="8"/>
        <v>0.8598175327251091</v>
      </c>
      <c r="V6" s="177">
        <f t="shared" si="9"/>
        <v>-0.23334563572614875</v>
      </c>
      <c r="W6" s="117">
        <v>8022.77</v>
      </c>
      <c r="X6" s="117">
        <v>8663.76</v>
      </c>
      <c r="Y6" s="117"/>
      <c r="Z6" s="117">
        <v>7857.37</v>
      </c>
      <c r="AA6" s="117">
        <v>7757.35</v>
      </c>
      <c r="AB6" s="117">
        <v>10574</v>
      </c>
      <c r="AC6" s="192">
        <f t="shared" si="11"/>
        <v>1.0538250361224222</v>
      </c>
      <c r="AD6" s="163">
        <f>ROUND(X6/W6-1,2)</f>
        <v>0.08</v>
      </c>
      <c r="AE6" s="117">
        <v>10611.74</v>
      </c>
      <c r="AF6" s="117">
        <v>8300</v>
      </c>
      <c r="AG6" s="204">
        <f aca="true" t="shared" si="26" ref="AG5:AG16">AE6/AB6</f>
        <v>1.0035691318327975</v>
      </c>
      <c r="AH6" s="204">
        <f>AF6/AE6-1</f>
        <v>-0.21784740297067207</v>
      </c>
      <c r="AI6" s="220" t="s">
        <v>45</v>
      </c>
      <c r="AJ6" s="116"/>
      <c r="AK6" s="221"/>
      <c r="AL6" s="116">
        <v>3076</v>
      </c>
      <c r="AM6" s="116">
        <v>3605</v>
      </c>
      <c r="AN6" s="116">
        <v>4372</v>
      </c>
      <c r="AO6" s="116">
        <v>6076</v>
      </c>
      <c r="AP6" s="117">
        <v>5099</v>
      </c>
      <c r="AQ6" s="117">
        <v>4209.2</v>
      </c>
      <c r="AR6" s="117">
        <v>3702.57</v>
      </c>
      <c r="AS6" s="117">
        <v>4799.55</v>
      </c>
      <c r="AT6" s="163">
        <f t="shared" si="13"/>
        <v>-0.27386350264757797</v>
      </c>
      <c r="AU6" s="117">
        <v>3981.45</v>
      </c>
      <c r="AV6" s="117">
        <v>6093.84</v>
      </c>
      <c r="AW6" s="163">
        <f t="shared" si="14"/>
        <v>0.8796374608001521</v>
      </c>
      <c r="AX6" s="163">
        <f t="shared" si="15"/>
        <v>0.296275289866228</v>
      </c>
      <c r="AY6" s="177">
        <f t="shared" si="16"/>
        <v>0.16628545288197621</v>
      </c>
      <c r="AZ6" s="177">
        <f t="shared" si="17"/>
        <v>0.8392034233048058</v>
      </c>
      <c r="BA6" s="177">
        <f t="shared" si="18"/>
        <v>-0.1745048048636988</v>
      </c>
      <c r="BB6" s="177">
        <f t="shared" si="19"/>
        <v>0.4213263979193758</v>
      </c>
      <c r="BC6" s="177">
        <f t="shared" si="20"/>
        <v>1.212760055478502</v>
      </c>
      <c r="BD6" s="177">
        <f t="shared" si="21"/>
        <v>0.3897529734675206</v>
      </c>
      <c r="BE6" s="117">
        <v>4345.91</v>
      </c>
      <c r="BF6" s="117">
        <v>6134.54</v>
      </c>
      <c r="BG6" s="117"/>
      <c r="BH6" s="117">
        <v>6605.29</v>
      </c>
      <c r="BI6" s="117">
        <v>5663.83</v>
      </c>
      <c r="BJ6" s="117">
        <v>7506.39</v>
      </c>
      <c r="BK6" s="117">
        <f t="shared" si="23"/>
        <v>0.7131644414687619</v>
      </c>
      <c r="BL6" s="117">
        <v>6433.43</v>
      </c>
      <c r="BM6" s="117">
        <v>8478.93</v>
      </c>
      <c r="BN6" s="204">
        <f t="shared" si="24"/>
        <v>0.8570604511622764</v>
      </c>
      <c r="BO6" s="264">
        <f>BM6/BL6-1</f>
        <v>0.3179485904097814</v>
      </c>
      <c r="BP6" s="266">
        <f t="shared" si="25"/>
        <v>0.4115662772583879</v>
      </c>
    </row>
    <row r="7" spans="1:68" s="88" customFormat="1" ht="33.75" customHeight="1">
      <c r="A7" s="114" t="s">
        <v>46</v>
      </c>
      <c r="B7" s="115" t="e">
        <f>B8+B10+#REF!+B13+B14</f>
        <v>#REF!</v>
      </c>
      <c r="C7" s="115" t="e">
        <f>C8+C10+#REF!+C13+C14</f>
        <v>#REF!</v>
      </c>
      <c r="D7" s="115" t="e">
        <f>D8+D10+#REF!+D13+D14+#REF!</f>
        <v>#REF!</v>
      </c>
      <c r="E7" s="115" t="e">
        <f>E8+E10+#REF!+E13+E14+#REF!</f>
        <v>#REF!</v>
      </c>
      <c r="F7" s="115" t="e">
        <f>F8+F10+#REF!+F13+F14+#REF!</f>
        <v>#REF!</v>
      </c>
      <c r="G7" s="115" t="e">
        <f>G8+G10+#REF!+G13+G14+#REF!</f>
        <v>#REF!</v>
      </c>
      <c r="H7" s="117" t="e">
        <f>H8+H10+#REF!+#REF!+H13+H14</f>
        <v>#REF!</v>
      </c>
      <c r="I7" s="117" t="e">
        <f>I8+I10+#REF!+#REF!+I13+I14</f>
        <v>#REF!</v>
      </c>
      <c r="J7" s="117" t="e">
        <f>J8+J10+#REF!+#REF!+J13+J14</f>
        <v>#REF!</v>
      </c>
      <c r="K7" s="117">
        <v>9557.21</v>
      </c>
      <c r="L7" s="163" t="e">
        <f t="shared" si="1"/>
        <v>#REF!</v>
      </c>
      <c r="M7" s="117">
        <v>7784.05</v>
      </c>
      <c r="N7" s="117">
        <v>7061.21</v>
      </c>
      <c r="O7" s="163" t="e">
        <f t="shared" si="2"/>
        <v>#REF!</v>
      </c>
      <c r="P7" s="163" t="e">
        <f t="shared" si="3"/>
        <v>#REF!</v>
      </c>
      <c r="Q7" s="177" t="e">
        <f t="shared" si="4"/>
        <v>#REF!</v>
      </c>
      <c r="R7" s="177" t="e">
        <f t="shared" si="5"/>
        <v>#REF!</v>
      </c>
      <c r="S7" s="177" t="e">
        <f t="shared" si="6"/>
        <v>#REF!</v>
      </c>
      <c r="T7" s="177" t="e">
        <f t="shared" si="7"/>
        <v>#REF!</v>
      </c>
      <c r="U7" s="177" t="e">
        <f t="shared" si="8"/>
        <v>#REF!</v>
      </c>
      <c r="V7" s="177" t="e">
        <f t="shared" si="9"/>
        <v>#REF!</v>
      </c>
      <c r="W7" s="117" t="e">
        <f>W8+W10+#REF!+#REF!+W13+W14</f>
        <v>#REF!</v>
      </c>
      <c r="X7" s="117">
        <f aca="true" t="shared" si="27" ref="X7:AB7">X8+X10+X13+X14</f>
        <v>7404.87</v>
      </c>
      <c r="Y7" s="117"/>
      <c r="Z7" s="117">
        <v>6429.32</v>
      </c>
      <c r="AA7" s="117">
        <f t="shared" si="27"/>
        <v>6320.2699999999995</v>
      </c>
      <c r="AB7" s="117">
        <f t="shared" si="27"/>
        <v>1878.87</v>
      </c>
      <c r="AC7" s="192" t="e">
        <f t="shared" si="11"/>
        <v>#REF!</v>
      </c>
      <c r="AD7" s="163" t="e">
        <f t="shared" si="12"/>
        <v>#REF!</v>
      </c>
      <c r="AE7" s="117">
        <f>AE8+AE10+AE13+AE14</f>
        <v>1830.1000000000001</v>
      </c>
      <c r="AF7" s="117">
        <f>AF8+AF10+AF13+AF14</f>
        <v>3626.63</v>
      </c>
      <c r="AG7" s="204">
        <f t="shared" si="26"/>
        <v>0.974042908769633</v>
      </c>
      <c r="AH7" s="204">
        <f aca="true" t="shared" si="28" ref="AH7:AH16">AF7/AE7-1</f>
        <v>0.9816567400688485</v>
      </c>
      <c r="AI7" s="220" t="s">
        <v>47</v>
      </c>
      <c r="AJ7" s="116"/>
      <c r="AK7" s="221"/>
      <c r="AL7" s="116"/>
      <c r="AM7" s="116"/>
      <c r="AN7" s="116"/>
      <c r="AO7" s="116"/>
      <c r="AP7" s="117"/>
      <c r="AQ7" s="117"/>
      <c r="AR7" s="117"/>
      <c r="AS7" s="117"/>
      <c r="AT7" s="163"/>
      <c r="AU7" s="117"/>
      <c r="AV7" s="117"/>
      <c r="AW7" s="163"/>
      <c r="AX7" s="163"/>
      <c r="AY7" s="177"/>
      <c r="AZ7" s="177"/>
      <c r="BA7" s="177"/>
      <c r="BB7" s="177"/>
      <c r="BC7" s="177"/>
      <c r="BD7" s="177"/>
      <c r="BE7" s="117"/>
      <c r="BF7" s="117"/>
      <c r="BG7" s="117"/>
      <c r="BH7" s="117"/>
      <c r="BI7" s="117"/>
      <c r="BJ7" s="117">
        <v>0</v>
      </c>
      <c r="BK7" s="117"/>
      <c r="BL7" s="117">
        <v>0</v>
      </c>
      <c r="BM7" s="117">
        <v>0</v>
      </c>
      <c r="BN7" s="200">
        <v>0</v>
      </c>
      <c r="BO7" s="267">
        <v>0</v>
      </c>
      <c r="BP7" s="266"/>
    </row>
    <row r="8" spans="1:68" s="88" customFormat="1" ht="33.75" customHeight="1">
      <c r="A8" s="118" t="s">
        <v>48</v>
      </c>
      <c r="B8" s="115" t="e">
        <f>#REF!-#REF!</f>
        <v>#REF!</v>
      </c>
      <c r="C8" s="115" t="e">
        <f>#REF!-#REF!</f>
        <v>#REF!</v>
      </c>
      <c r="D8" s="116">
        <f aca="true" t="shared" si="29" ref="D8:G8">SUM(D9:D9)</f>
        <v>445</v>
      </c>
      <c r="E8" s="116">
        <f t="shared" si="29"/>
        <v>556</v>
      </c>
      <c r="F8" s="116">
        <f t="shared" si="29"/>
        <v>981</v>
      </c>
      <c r="G8" s="116">
        <f t="shared" si="29"/>
        <v>546</v>
      </c>
      <c r="H8" s="117">
        <f aca="true" t="shared" si="30" ref="H8:J8">H9</f>
        <v>719</v>
      </c>
      <c r="I8" s="117">
        <f t="shared" si="30"/>
        <v>406</v>
      </c>
      <c r="J8" s="117">
        <f t="shared" si="30"/>
        <v>826.16</v>
      </c>
      <c r="K8" s="117">
        <v>1076</v>
      </c>
      <c r="L8" s="163">
        <f t="shared" si="1"/>
        <v>0.14904033379694015</v>
      </c>
      <c r="M8" s="117">
        <v>894.17</v>
      </c>
      <c r="N8" s="117">
        <v>986</v>
      </c>
      <c r="O8" s="163">
        <f t="shared" si="2"/>
        <v>2.0348768472906404</v>
      </c>
      <c r="P8" s="163">
        <f t="shared" si="3"/>
        <v>0.3024111552241697</v>
      </c>
      <c r="Q8" s="177">
        <f t="shared" si="4"/>
        <v>-0.2670744138634047</v>
      </c>
      <c r="R8" s="177">
        <f t="shared" si="5"/>
        <v>1.3168498168498168</v>
      </c>
      <c r="S8" s="177">
        <f t="shared" si="6"/>
        <v>-0.43532684283727396</v>
      </c>
      <c r="T8" s="177">
        <f t="shared" si="7"/>
        <v>1.2044943820224718</v>
      </c>
      <c r="U8" s="177">
        <f t="shared" si="8"/>
        <v>1.764388489208633</v>
      </c>
      <c r="V8" s="177">
        <f t="shared" si="9"/>
        <v>-0.4434250764525994</v>
      </c>
      <c r="W8" s="117">
        <v>909.73</v>
      </c>
      <c r="X8" s="117">
        <v>936.1</v>
      </c>
      <c r="Y8" s="117"/>
      <c r="Z8" s="117">
        <v>936.1</v>
      </c>
      <c r="AA8" s="117">
        <v>873.89</v>
      </c>
      <c r="AB8" s="117">
        <v>976.22</v>
      </c>
      <c r="AC8" s="192">
        <f t="shared" si="11"/>
        <v>0.9226470588235294</v>
      </c>
      <c r="AD8" s="163">
        <f t="shared" si="12"/>
        <v>0.028986622404449713</v>
      </c>
      <c r="AE8" s="117">
        <v>934.63</v>
      </c>
      <c r="AF8" s="117">
        <v>950</v>
      </c>
      <c r="AG8" s="204">
        <f t="shared" si="26"/>
        <v>0.9573968982401507</v>
      </c>
      <c r="AH8" s="204">
        <f t="shared" si="28"/>
        <v>0.01644501032494139</v>
      </c>
      <c r="AI8" s="220" t="s">
        <v>49</v>
      </c>
      <c r="AJ8" s="116"/>
      <c r="AK8" s="221"/>
      <c r="AL8" s="116"/>
      <c r="AM8" s="116"/>
      <c r="AN8" s="116"/>
      <c r="AO8" s="116"/>
      <c r="AP8" s="117"/>
      <c r="AQ8" s="117"/>
      <c r="AR8" s="117"/>
      <c r="AS8" s="117"/>
      <c r="AT8" s="163"/>
      <c r="AU8" s="117"/>
      <c r="AV8" s="117"/>
      <c r="AW8" s="163"/>
      <c r="AX8" s="163"/>
      <c r="AY8" s="177"/>
      <c r="AZ8" s="177"/>
      <c r="BA8" s="177"/>
      <c r="BB8" s="177"/>
      <c r="BC8" s="177"/>
      <c r="BD8" s="177"/>
      <c r="BE8" s="117"/>
      <c r="BF8" s="117"/>
      <c r="BG8" s="117"/>
      <c r="BH8" s="117"/>
      <c r="BI8" s="117"/>
      <c r="BJ8" s="117">
        <v>0</v>
      </c>
      <c r="BK8" s="117"/>
      <c r="BL8" s="117">
        <v>0</v>
      </c>
      <c r="BM8" s="117">
        <v>0</v>
      </c>
      <c r="BN8" s="200">
        <v>0</v>
      </c>
      <c r="BO8" s="267">
        <v>0</v>
      </c>
      <c r="BP8" s="266"/>
    </row>
    <row r="9" spans="1:68" s="88" customFormat="1" ht="33.75" customHeight="1">
      <c r="A9" s="118" t="s">
        <v>50</v>
      </c>
      <c r="B9" s="115" t="e">
        <f>#REF!-#REF!</f>
        <v>#REF!</v>
      </c>
      <c r="C9" s="115" t="e">
        <f>#REF!-#REF!</f>
        <v>#REF!</v>
      </c>
      <c r="D9" s="116">
        <v>445</v>
      </c>
      <c r="E9" s="116">
        <v>556</v>
      </c>
      <c r="F9" s="116">
        <v>981</v>
      </c>
      <c r="G9" s="116">
        <v>546</v>
      </c>
      <c r="H9" s="117">
        <v>719</v>
      </c>
      <c r="I9" s="117">
        <v>406</v>
      </c>
      <c r="J9" s="117">
        <v>826.16</v>
      </c>
      <c r="K9" s="117">
        <v>1076</v>
      </c>
      <c r="L9" s="163">
        <f t="shared" si="1"/>
        <v>0.14904033379694015</v>
      </c>
      <c r="M9" s="117">
        <v>894.17</v>
      </c>
      <c r="N9" s="117">
        <v>986</v>
      </c>
      <c r="O9" s="163">
        <f t="shared" si="2"/>
        <v>2.0348768472906404</v>
      </c>
      <c r="P9" s="163">
        <f t="shared" si="3"/>
        <v>0.3024111552241697</v>
      </c>
      <c r="Q9" s="177">
        <f t="shared" si="4"/>
        <v>-0.2670744138634047</v>
      </c>
      <c r="R9" s="177">
        <f t="shared" si="5"/>
        <v>1.3168498168498168</v>
      </c>
      <c r="S9" s="177">
        <f t="shared" si="6"/>
        <v>-0.43532684283727396</v>
      </c>
      <c r="T9" s="177">
        <f t="shared" si="7"/>
        <v>1.2044943820224718</v>
      </c>
      <c r="U9" s="177">
        <f t="shared" si="8"/>
        <v>1.764388489208633</v>
      </c>
      <c r="V9" s="177">
        <f t="shared" si="9"/>
        <v>-0.4434250764525994</v>
      </c>
      <c r="W9" s="117">
        <v>909.73</v>
      </c>
      <c r="X9" s="117">
        <v>936.1</v>
      </c>
      <c r="Y9" s="117"/>
      <c r="Z9" s="117">
        <v>936.1</v>
      </c>
      <c r="AA9" s="117">
        <v>873.89</v>
      </c>
      <c r="AB9" s="117">
        <v>976.22</v>
      </c>
      <c r="AC9" s="192">
        <f t="shared" si="11"/>
        <v>0.9226470588235294</v>
      </c>
      <c r="AD9" s="163">
        <f t="shared" si="12"/>
        <v>0.028986622404449713</v>
      </c>
      <c r="AE9" s="117">
        <v>934.63</v>
      </c>
      <c r="AF9" s="117">
        <v>950</v>
      </c>
      <c r="AG9" s="204">
        <f t="shared" si="26"/>
        <v>0.9573968982401507</v>
      </c>
      <c r="AH9" s="204">
        <f t="shared" si="28"/>
        <v>0.01644501032494139</v>
      </c>
      <c r="AI9" s="220" t="s">
        <v>51</v>
      </c>
      <c r="AJ9" s="116"/>
      <c r="AK9" s="221"/>
      <c r="AL9" s="116">
        <v>1464</v>
      </c>
      <c r="AM9" s="116">
        <v>1517</v>
      </c>
      <c r="AN9" s="116">
        <v>1847</v>
      </c>
      <c r="AO9" s="116">
        <v>2453</v>
      </c>
      <c r="AP9" s="117">
        <v>2695</v>
      </c>
      <c r="AQ9" s="117">
        <v>3373.69</v>
      </c>
      <c r="AR9" s="117">
        <v>2821.64</v>
      </c>
      <c r="AS9" s="117">
        <v>3336.4</v>
      </c>
      <c r="AT9" s="163">
        <f t="shared" si="13"/>
        <v>0.04699072356215206</v>
      </c>
      <c r="AU9" s="117">
        <v>3062.31</v>
      </c>
      <c r="AV9" s="117">
        <v>3281.68</v>
      </c>
      <c r="AW9" s="163">
        <f t="shared" si="14"/>
        <v>0.8363661154403634</v>
      </c>
      <c r="AX9" s="163">
        <f t="shared" si="15"/>
        <v>0.18243291135651618</v>
      </c>
      <c r="AY9" s="177">
        <f t="shared" si="16"/>
        <v>0.4591229020032485</v>
      </c>
      <c r="AZ9" s="177">
        <f t="shared" si="17"/>
        <v>1.0986547085201794</v>
      </c>
      <c r="BA9" s="177">
        <f t="shared" si="18"/>
        <v>0.2518330241187384</v>
      </c>
      <c r="BB9" s="177">
        <f t="shared" si="19"/>
        <v>0.2616120218579235</v>
      </c>
      <c r="BC9" s="177">
        <f t="shared" si="20"/>
        <v>1.2175346077785103</v>
      </c>
      <c r="BD9" s="177">
        <f t="shared" si="21"/>
        <v>0.32809962100703843</v>
      </c>
      <c r="BE9" s="117">
        <v>3419.39</v>
      </c>
      <c r="BF9" s="117">
        <v>3758.47</v>
      </c>
      <c r="BG9" s="117"/>
      <c r="BH9" s="117">
        <v>3971.13</v>
      </c>
      <c r="BI9" s="117">
        <v>3676.02</v>
      </c>
      <c r="BJ9" s="117">
        <v>4189.900000000001</v>
      </c>
      <c r="BK9" s="117">
        <f t="shared" si="23"/>
        <v>1.0419632627190951</v>
      </c>
      <c r="BL9" s="117">
        <v>3923.73</v>
      </c>
      <c r="BM9" s="117">
        <v>3904.08</v>
      </c>
      <c r="BN9" s="204">
        <f t="shared" si="24"/>
        <v>0.9364734241867346</v>
      </c>
      <c r="BO9" s="264">
        <f>BM9/BL9-1</f>
        <v>-0.005007989846396166</v>
      </c>
      <c r="BP9" s="266">
        <f t="shared" si="25"/>
        <v>0.09916388595626713</v>
      </c>
    </row>
    <row r="10" spans="1:68" s="88" customFormat="1" ht="33.75" customHeight="1">
      <c r="A10" s="118" t="s">
        <v>52</v>
      </c>
      <c r="B10" s="115" t="e">
        <f>#REF!-#REF!</f>
        <v>#REF!</v>
      </c>
      <c r="C10" s="115" t="e">
        <f>#REF!-#REF!</f>
        <v>#REF!</v>
      </c>
      <c r="D10" s="115">
        <f aca="true" t="shared" si="31" ref="D10:G10">SUM(D11:D12)</f>
        <v>1410</v>
      </c>
      <c r="E10" s="115">
        <f t="shared" si="31"/>
        <v>3404</v>
      </c>
      <c r="F10" s="115">
        <f t="shared" si="31"/>
        <v>2242</v>
      </c>
      <c r="G10" s="115">
        <f t="shared" si="31"/>
        <v>2501</v>
      </c>
      <c r="H10" s="117">
        <v>2471</v>
      </c>
      <c r="I10" s="117">
        <f>I11+I12</f>
        <v>1098</v>
      </c>
      <c r="J10" s="117">
        <f>J11+J12</f>
        <v>1210.48</v>
      </c>
      <c r="K10" s="117">
        <v>1011.91</v>
      </c>
      <c r="L10" s="163">
        <f t="shared" si="1"/>
        <v>-0.5101254552812626</v>
      </c>
      <c r="M10" s="117">
        <v>955.95</v>
      </c>
      <c r="N10" s="117">
        <v>1189.71</v>
      </c>
      <c r="O10" s="163">
        <f t="shared" si="2"/>
        <v>1.102440801457195</v>
      </c>
      <c r="P10" s="163">
        <f t="shared" si="3"/>
        <v>-0.16404236335998945</v>
      </c>
      <c r="Q10" s="177">
        <f t="shared" si="4"/>
        <v>0.10214094558429973</v>
      </c>
      <c r="R10" s="177">
        <f t="shared" si="5"/>
        <v>0.9880047980807677</v>
      </c>
      <c r="S10" s="177">
        <f t="shared" si="6"/>
        <v>-0.5556454876568191</v>
      </c>
      <c r="T10" s="177">
        <f t="shared" si="7"/>
        <v>0.5900709219858156</v>
      </c>
      <c r="U10" s="177">
        <f t="shared" si="8"/>
        <v>0.6586368977673326</v>
      </c>
      <c r="V10" s="177">
        <f t="shared" si="9"/>
        <v>0.11552185548617305</v>
      </c>
      <c r="W10" s="117">
        <v>1277.43</v>
      </c>
      <c r="X10" s="117">
        <v>301.07</v>
      </c>
      <c r="Y10" s="117"/>
      <c r="Z10" s="117">
        <v>1301.07</v>
      </c>
      <c r="AA10" s="117">
        <f aca="true" t="shared" si="32" ref="AA10:AF10">AA11+AA12</f>
        <v>1270.5</v>
      </c>
      <c r="AB10" s="117">
        <f t="shared" si="32"/>
        <v>617.65</v>
      </c>
      <c r="AC10" s="192">
        <f t="shared" si="11"/>
        <v>1.073732254078725</v>
      </c>
      <c r="AD10" s="163">
        <f t="shared" si="12"/>
        <v>-0.7643158529234478</v>
      </c>
      <c r="AE10" s="117">
        <f t="shared" si="32"/>
        <v>617.82</v>
      </c>
      <c r="AF10" s="117">
        <f t="shared" si="32"/>
        <v>300.63</v>
      </c>
      <c r="AG10" s="204">
        <f t="shared" si="26"/>
        <v>1.0002752367845869</v>
      </c>
      <c r="AH10" s="204">
        <f t="shared" si="28"/>
        <v>-0.5134019617364282</v>
      </c>
      <c r="AI10" s="222" t="s">
        <v>53</v>
      </c>
      <c r="AJ10" s="116"/>
      <c r="AK10" s="221"/>
      <c r="AL10" s="116">
        <v>3705</v>
      </c>
      <c r="AM10" s="116">
        <v>3044</v>
      </c>
      <c r="AN10" s="116">
        <v>3610</v>
      </c>
      <c r="AO10" s="116">
        <v>3488</v>
      </c>
      <c r="AP10" s="117">
        <v>3445</v>
      </c>
      <c r="AQ10" s="117">
        <v>3748.29</v>
      </c>
      <c r="AR10" s="117">
        <v>3925.83</v>
      </c>
      <c r="AS10" s="117">
        <v>4224.03</v>
      </c>
      <c r="AT10" s="163">
        <f t="shared" si="13"/>
        <v>0.13957329462989843</v>
      </c>
      <c r="AU10" s="117">
        <v>4311.19</v>
      </c>
      <c r="AV10" s="117">
        <v>4719.52</v>
      </c>
      <c r="AW10" s="163">
        <f t="shared" si="14"/>
        <v>1.047365598713013</v>
      </c>
      <c r="AX10" s="163">
        <f t="shared" si="15"/>
        <v>0.07595845973972382</v>
      </c>
      <c r="AY10" s="177">
        <f t="shared" si="16"/>
        <v>-0.045706371191135735</v>
      </c>
      <c r="AZ10" s="177">
        <f t="shared" si="17"/>
        <v>0.9876720183486238</v>
      </c>
      <c r="BA10" s="177">
        <f t="shared" si="18"/>
        <v>0.0880377358490566</v>
      </c>
      <c r="BB10" s="177">
        <f t="shared" si="19"/>
        <v>-0.02564102564102564</v>
      </c>
      <c r="BC10" s="177">
        <f t="shared" si="20"/>
        <v>1.185939553219448</v>
      </c>
      <c r="BD10" s="177">
        <f t="shared" si="21"/>
        <v>-0.033795013850415515</v>
      </c>
      <c r="BE10" s="117">
        <v>4554.7</v>
      </c>
      <c r="BF10" s="117">
        <v>4933.57</v>
      </c>
      <c r="BG10" s="117"/>
      <c r="BH10" s="117">
        <v>4968.56</v>
      </c>
      <c r="BI10" s="117">
        <v>5003.94</v>
      </c>
      <c r="BJ10" s="117">
        <v>6136.34</v>
      </c>
      <c r="BK10" s="117">
        <f t="shared" si="23"/>
        <v>0.9650769569786757</v>
      </c>
      <c r="BL10" s="117">
        <v>6190.63</v>
      </c>
      <c r="BM10" s="117">
        <v>6897.63</v>
      </c>
      <c r="BN10" s="204">
        <f t="shared" si="24"/>
        <v>1.0088472933377224</v>
      </c>
      <c r="BO10" s="264">
        <f aca="true" t="shared" si="33" ref="BO10:BO21">BM10/BL10-1</f>
        <v>0.11420485475630104</v>
      </c>
      <c r="BP10" s="266">
        <f t="shared" si="25"/>
        <v>0.08318220739016846</v>
      </c>
    </row>
    <row r="11" spans="1:68" s="88" customFormat="1" ht="33.75" customHeight="1">
      <c r="A11" s="118" t="s">
        <v>54</v>
      </c>
      <c r="B11" s="115"/>
      <c r="C11" s="115"/>
      <c r="D11" s="116">
        <v>1019</v>
      </c>
      <c r="E11" s="116">
        <v>3262</v>
      </c>
      <c r="F11" s="116">
        <v>2242</v>
      </c>
      <c r="G11" s="116">
        <v>2359</v>
      </c>
      <c r="H11" s="117">
        <f>H10-H12</f>
        <v>407</v>
      </c>
      <c r="I11" s="117">
        <v>266</v>
      </c>
      <c r="J11" s="117">
        <v>383.82</v>
      </c>
      <c r="K11" s="117">
        <v>947.91</v>
      </c>
      <c r="L11" s="163">
        <f t="shared" si="1"/>
        <v>-0.05695331695331696</v>
      </c>
      <c r="M11" s="117">
        <v>173.61</v>
      </c>
      <c r="N11" s="117">
        <v>541.51</v>
      </c>
      <c r="O11" s="163">
        <f t="shared" si="2"/>
        <v>1.4429323308270676</v>
      </c>
      <c r="P11" s="163">
        <f t="shared" si="3"/>
        <v>1.46967328435204</v>
      </c>
      <c r="Q11" s="177">
        <f t="shared" si="4"/>
        <v>-0.8184656556645852</v>
      </c>
      <c r="R11" s="177">
        <f t="shared" si="5"/>
        <v>0.17253073336159389</v>
      </c>
      <c r="S11" s="177">
        <f t="shared" si="6"/>
        <v>-0.3464373464373464</v>
      </c>
      <c r="T11" s="177"/>
      <c r="U11" s="177"/>
      <c r="V11" s="177"/>
      <c r="W11" s="117">
        <v>321.02</v>
      </c>
      <c r="X11" s="117">
        <v>198.07</v>
      </c>
      <c r="Y11" s="117"/>
      <c r="Z11" s="117">
        <v>245.07</v>
      </c>
      <c r="AA11" s="117">
        <v>239.03</v>
      </c>
      <c r="AB11" s="117">
        <v>372.99</v>
      </c>
      <c r="AC11" s="192">
        <f t="shared" si="11"/>
        <v>0.5928237705674871</v>
      </c>
      <c r="AD11" s="163">
        <f t="shared" si="12"/>
        <v>-0.38299794405333</v>
      </c>
      <c r="AE11" s="117">
        <v>202.15</v>
      </c>
      <c r="AF11" s="117">
        <v>181.34</v>
      </c>
      <c r="AG11" s="204">
        <f t="shared" si="26"/>
        <v>0.5419716346282742</v>
      </c>
      <c r="AH11" s="204">
        <f t="shared" si="28"/>
        <v>-0.10294335889191197</v>
      </c>
      <c r="AI11" s="222" t="s">
        <v>55</v>
      </c>
      <c r="AJ11" s="116"/>
      <c r="AK11" s="221"/>
      <c r="AL11" s="116">
        <v>8</v>
      </c>
      <c r="AM11" s="116">
        <v>10</v>
      </c>
      <c r="AN11" s="116">
        <v>35</v>
      </c>
      <c r="AO11" s="116">
        <v>25</v>
      </c>
      <c r="AP11" s="117">
        <v>25</v>
      </c>
      <c r="AQ11" s="117">
        <v>25.2</v>
      </c>
      <c r="AR11" s="117">
        <v>85.72</v>
      </c>
      <c r="AS11" s="117">
        <v>22.5</v>
      </c>
      <c r="AT11" s="163">
        <f t="shared" si="13"/>
        <v>2.4288</v>
      </c>
      <c r="AU11" s="117">
        <v>569.68</v>
      </c>
      <c r="AV11" s="117">
        <v>104.53</v>
      </c>
      <c r="AW11" s="163">
        <f t="shared" si="14"/>
        <v>3.4015873015873015</v>
      </c>
      <c r="AX11" s="163">
        <v>0.02</v>
      </c>
      <c r="AY11" s="177">
        <f t="shared" si="16"/>
        <v>-0.2857142857142857</v>
      </c>
      <c r="AZ11" s="177">
        <f t="shared" si="17"/>
        <v>1</v>
      </c>
      <c r="BA11" s="177">
        <f t="shared" si="18"/>
        <v>0.007999999999999972</v>
      </c>
      <c r="BB11" s="177">
        <f t="shared" si="19"/>
        <v>3.375</v>
      </c>
      <c r="BC11" s="177">
        <f t="shared" si="20"/>
        <v>3.5</v>
      </c>
      <c r="BD11" s="177">
        <f t="shared" si="21"/>
        <v>-0.2857142857142857</v>
      </c>
      <c r="BE11" s="117">
        <v>742.64</v>
      </c>
      <c r="BF11" s="117">
        <v>606.65</v>
      </c>
      <c r="BG11" s="117"/>
      <c r="BH11" s="117">
        <v>1096.04</v>
      </c>
      <c r="BI11" s="117">
        <v>1008.54</v>
      </c>
      <c r="BJ11" s="117">
        <v>468.2</v>
      </c>
      <c r="BK11" s="117">
        <f t="shared" si="23"/>
        <v>7.104563283267961</v>
      </c>
      <c r="BL11" s="117">
        <v>346.36</v>
      </c>
      <c r="BM11" s="117">
        <v>592.05</v>
      </c>
      <c r="BN11" s="204">
        <f t="shared" si="24"/>
        <v>0.7397693293464332</v>
      </c>
      <c r="BO11" s="264">
        <f t="shared" si="33"/>
        <v>0.7093486545790506</v>
      </c>
      <c r="BP11" s="266">
        <f t="shared" si="25"/>
        <v>-0.18311698804265863</v>
      </c>
    </row>
    <row r="12" spans="1:68" s="88" customFormat="1" ht="33.75" customHeight="1">
      <c r="A12" s="118" t="s">
        <v>56</v>
      </c>
      <c r="B12" s="115"/>
      <c r="C12" s="115"/>
      <c r="D12" s="116">
        <v>391</v>
      </c>
      <c r="E12" s="116">
        <v>142</v>
      </c>
      <c r="F12" s="119">
        <v>0</v>
      </c>
      <c r="G12" s="116">
        <v>142</v>
      </c>
      <c r="H12" s="117">
        <v>2064</v>
      </c>
      <c r="I12" s="117">
        <v>832</v>
      </c>
      <c r="J12" s="117">
        <v>826.66</v>
      </c>
      <c r="K12" s="117">
        <v>64</v>
      </c>
      <c r="L12" s="163">
        <f t="shared" si="1"/>
        <v>-0.5994864341085271</v>
      </c>
      <c r="M12" s="117">
        <v>782.34</v>
      </c>
      <c r="N12" s="117">
        <v>648.2</v>
      </c>
      <c r="O12" s="163">
        <f t="shared" si="2"/>
        <v>0.9935817307692307</v>
      </c>
      <c r="P12" s="163">
        <f t="shared" si="3"/>
        <v>-0.9225800208066194</v>
      </c>
      <c r="Q12" s="119">
        <v>0</v>
      </c>
      <c r="R12" s="177">
        <f t="shared" si="5"/>
        <v>14.535211267605634</v>
      </c>
      <c r="S12" s="177">
        <f t="shared" si="6"/>
        <v>-0.5968992248062015</v>
      </c>
      <c r="T12" s="177">
        <f>(F11-D11)/D11</f>
        <v>1.2001962708537781</v>
      </c>
      <c r="U12" s="177">
        <f>F11/E11</f>
        <v>0.6873083997547517</v>
      </c>
      <c r="V12" s="177">
        <f>(G11-F11)/F11</f>
        <v>0.052185548617305975</v>
      </c>
      <c r="W12" s="117">
        <v>956.41</v>
      </c>
      <c r="X12" s="117">
        <v>103</v>
      </c>
      <c r="Y12" s="117"/>
      <c r="Z12" s="117">
        <v>1056</v>
      </c>
      <c r="AA12" s="117">
        <v>1031.47</v>
      </c>
      <c r="AB12" s="117">
        <v>244.66</v>
      </c>
      <c r="AC12" s="192">
        <f t="shared" si="11"/>
        <v>1.47548596112311</v>
      </c>
      <c r="AD12" s="163">
        <f t="shared" si="12"/>
        <v>-0.8923056011543167</v>
      </c>
      <c r="AE12" s="117">
        <v>415.67</v>
      </c>
      <c r="AF12" s="117">
        <v>119.29</v>
      </c>
      <c r="AG12" s="204">
        <f t="shared" si="26"/>
        <v>1.698969999182539</v>
      </c>
      <c r="AH12" s="204">
        <f t="shared" si="28"/>
        <v>-0.7130175379507783</v>
      </c>
      <c r="AI12" s="222" t="s">
        <v>57</v>
      </c>
      <c r="AJ12" s="116"/>
      <c r="AK12" s="221"/>
      <c r="AL12" s="116">
        <v>192</v>
      </c>
      <c r="AM12" s="116">
        <v>101</v>
      </c>
      <c r="AN12" s="116">
        <v>287</v>
      </c>
      <c r="AO12" s="116">
        <v>365</v>
      </c>
      <c r="AP12" s="117">
        <v>422</v>
      </c>
      <c r="AQ12" s="117">
        <v>196.97</v>
      </c>
      <c r="AR12" s="117">
        <v>272.87</v>
      </c>
      <c r="AS12" s="117">
        <v>181.75</v>
      </c>
      <c r="AT12" s="163">
        <f t="shared" si="13"/>
        <v>-0.353388625592417</v>
      </c>
      <c r="AU12" s="117">
        <v>279.6</v>
      </c>
      <c r="AV12" s="117">
        <v>187.86</v>
      </c>
      <c r="AW12" s="163">
        <f t="shared" si="14"/>
        <v>1.3853378687109712</v>
      </c>
      <c r="AX12" s="163">
        <f aca="true" t="shared" si="34" ref="AX12:AX21">AS12/AR12-1</f>
        <v>-0.33393190896764025</v>
      </c>
      <c r="AY12" s="177">
        <f t="shared" si="16"/>
        <v>0.47038327526132406</v>
      </c>
      <c r="AZ12" s="177">
        <f t="shared" si="17"/>
        <v>1.1561643835616437</v>
      </c>
      <c r="BA12" s="177">
        <f t="shared" si="18"/>
        <v>-0.5332464454976303</v>
      </c>
      <c r="BB12" s="177">
        <f t="shared" si="19"/>
        <v>0.4947916666666667</v>
      </c>
      <c r="BC12" s="177">
        <f t="shared" si="20"/>
        <v>2.8415841584158414</v>
      </c>
      <c r="BD12" s="177">
        <f t="shared" si="21"/>
        <v>0.27177700348432055</v>
      </c>
      <c r="BE12" s="117">
        <v>310.4</v>
      </c>
      <c r="BF12" s="117">
        <v>274.07</v>
      </c>
      <c r="BG12" s="117"/>
      <c r="BH12" s="117">
        <v>433</v>
      </c>
      <c r="BI12" s="117">
        <v>407.48</v>
      </c>
      <c r="BJ12" s="117">
        <v>393.68</v>
      </c>
      <c r="BK12" s="117">
        <f t="shared" si="23"/>
        <v>1.6522942616842327</v>
      </c>
      <c r="BL12" s="117">
        <v>365.71</v>
      </c>
      <c r="BM12" s="117">
        <v>810.51</v>
      </c>
      <c r="BN12" s="204">
        <f t="shared" si="24"/>
        <v>0.9289524486892907</v>
      </c>
      <c r="BO12" s="264">
        <f t="shared" si="33"/>
        <v>1.2162642530967163</v>
      </c>
      <c r="BP12" s="266">
        <f t="shared" si="25"/>
        <v>-0.11704252577319585</v>
      </c>
    </row>
    <row r="13" spans="1:68" s="88" customFormat="1" ht="33.75" customHeight="1">
      <c r="A13" s="118" t="s">
        <v>58</v>
      </c>
      <c r="B13" s="115"/>
      <c r="C13" s="115"/>
      <c r="D13" s="116">
        <v>47</v>
      </c>
      <c r="E13" s="116">
        <v>54</v>
      </c>
      <c r="F13" s="116">
        <v>2299</v>
      </c>
      <c r="G13" s="116">
        <v>142</v>
      </c>
      <c r="H13" s="117">
        <v>4335</v>
      </c>
      <c r="I13" s="117">
        <v>6234</v>
      </c>
      <c r="J13" s="117">
        <v>3295.72</v>
      </c>
      <c r="K13" s="117">
        <v>3027.09</v>
      </c>
      <c r="L13" s="163">
        <f t="shared" si="1"/>
        <v>-0.2397416378316033</v>
      </c>
      <c r="M13" s="117">
        <v>1906.48</v>
      </c>
      <c r="N13" s="117">
        <v>280</v>
      </c>
      <c r="O13" s="163">
        <f t="shared" si="2"/>
        <v>0.5286685915944819</v>
      </c>
      <c r="P13" s="163">
        <f t="shared" si="3"/>
        <v>-0.08150874467491165</v>
      </c>
      <c r="Q13" s="177">
        <f aca="true" t="shared" si="35" ref="Q13:Q15">(H13-F13)/F13</f>
        <v>0.8856024358416703</v>
      </c>
      <c r="R13" s="177">
        <f t="shared" si="5"/>
        <v>30.528169014084508</v>
      </c>
      <c r="S13" s="177">
        <f t="shared" si="6"/>
        <v>0.4380622837370242</v>
      </c>
      <c r="T13" s="177"/>
      <c r="U13" s="177"/>
      <c r="V13" s="177"/>
      <c r="W13" s="117">
        <v>115.53</v>
      </c>
      <c r="X13" s="117">
        <v>520</v>
      </c>
      <c r="Y13" s="117"/>
      <c r="Z13" s="117">
        <v>144.45</v>
      </c>
      <c r="AA13" s="117">
        <v>144.45</v>
      </c>
      <c r="AB13" s="117">
        <v>156</v>
      </c>
      <c r="AC13" s="192">
        <f t="shared" si="11"/>
        <v>0.41260714285714284</v>
      </c>
      <c r="AD13" s="163">
        <f t="shared" si="12"/>
        <v>3.5009954124469838</v>
      </c>
      <c r="AE13" s="117">
        <v>155.9</v>
      </c>
      <c r="AF13" s="117">
        <v>2350</v>
      </c>
      <c r="AG13" s="204">
        <f t="shared" si="26"/>
        <v>0.9993589743589744</v>
      </c>
      <c r="AH13" s="204">
        <f t="shared" si="28"/>
        <v>14.073765234124439</v>
      </c>
      <c r="AI13" s="223" t="s">
        <v>59</v>
      </c>
      <c r="AJ13" s="116"/>
      <c r="AK13" s="221"/>
      <c r="AL13" s="116">
        <v>1553</v>
      </c>
      <c r="AM13" s="116">
        <v>1600</v>
      </c>
      <c r="AN13" s="116">
        <v>1911</v>
      </c>
      <c r="AO13" s="116">
        <v>3008</v>
      </c>
      <c r="AP13" s="117">
        <v>2466</v>
      </c>
      <c r="AQ13" s="117">
        <v>2571.5</v>
      </c>
      <c r="AR13" s="117">
        <v>2208.6</v>
      </c>
      <c r="AS13" s="117">
        <v>2498.45</v>
      </c>
      <c r="AT13" s="163">
        <f t="shared" si="13"/>
        <v>-0.10437956204379562</v>
      </c>
      <c r="AU13" s="117">
        <v>1481.79</v>
      </c>
      <c r="AV13" s="117">
        <v>2277.25</v>
      </c>
      <c r="AW13" s="163">
        <f t="shared" si="14"/>
        <v>0.8588761423293797</v>
      </c>
      <c r="AX13" s="163">
        <f t="shared" si="34"/>
        <v>0.13123698270397544</v>
      </c>
      <c r="AY13" s="177">
        <f t="shared" si="16"/>
        <v>0.2904238618524333</v>
      </c>
      <c r="AZ13" s="177">
        <f t="shared" si="17"/>
        <v>0.819813829787234</v>
      </c>
      <c r="BA13" s="177">
        <f t="shared" si="18"/>
        <v>0.04278183292781833</v>
      </c>
      <c r="BB13" s="177">
        <f t="shared" si="19"/>
        <v>0.23052157115260785</v>
      </c>
      <c r="BC13" s="177">
        <f t="shared" si="20"/>
        <v>1.194375</v>
      </c>
      <c r="BD13" s="177">
        <f t="shared" si="21"/>
        <v>0.5740450026164312</v>
      </c>
      <c r="BE13" s="117">
        <v>2375.86</v>
      </c>
      <c r="BF13" s="117">
        <v>2864.05</v>
      </c>
      <c r="BG13" s="117"/>
      <c r="BH13" s="117">
        <v>2819.02</v>
      </c>
      <c r="BI13" s="117">
        <v>2530.34</v>
      </c>
      <c r="BJ13" s="117">
        <v>3266.42</v>
      </c>
      <c r="BK13" s="117">
        <f t="shared" si="23"/>
        <v>1.0433022285651554</v>
      </c>
      <c r="BL13" s="117">
        <v>3004.88</v>
      </c>
      <c r="BM13" s="117">
        <v>2514.46</v>
      </c>
      <c r="BN13" s="204">
        <f t="shared" si="24"/>
        <v>0.9199306886438364</v>
      </c>
      <c r="BO13" s="264">
        <f t="shared" si="33"/>
        <v>-0.16320784856633208</v>
      </c>
      <c r="BP13" s="266">
        <f t="shared" si="25"/>
        <v>0.20547927908210073</v>
      </c>
    </row>
    <row r="14" spans="1:68" s="88" customFormat="1" ht="33.75" customHeight="1">
      <c r="A14" s="118" t="s">
        <v>60</v>
      </c>
      <c r="B14" s="115"/>
      <c r="C14" s="115"/>
      <c r="D14" s="116">
        <v>47</v>
      </c>
      <c r="E14" s="116">
        <v>1000</v>
      </c>
      <c r="F14" s="116">
        <v>85</v>
      </c>
      <c r="G14" s="116">
        <v>304</v>
      </c>
      <c r="H14" s="117">
        <v>3739</v>
      </c>
      <c r="I14" s="117">
        <v>3970.05</v>
      </c>
      <c r="J14" s="117">
        <v>4114.12</v>
      </c>
      <c r="K14" s="117">
        <v>4442.2</v>
      </c>
      <c r="L14" s="163">
        <f t="shared" si="1"/>
        <v>0.10032629045199237</v>
      </c>
      <c r="M14" s="117">
        <v>4027.45</v>
      </c>
      <c r="N14" s="117">
        <v>4605.5</v>
      </c>
      <c r="O14" s="163">
        <f t="shared" si="2"/>
        <v>1.0362892155010641</v>
      </c>
      <c r="P14" s="163">
        <f t="shared" si="3"/>
        <v>0.07974487861316626</v>
      </c>
      <c r="Q14" s="177">
        <f t="shared" si="35"/>
        <v>42.98823529411764</v>
      </c>
      <c r="R14" s="177">
        <f t="shared" si="5"/>
        <v>12.299342105263158</v>
      </c>
      <c r="S14" s="177">
        <f t="shared" si="6"/>
        <v>0.06179459748595886</v>
      </c>
      <c r="T14" s="125"/>
      <c r="U14" s="125"/>
      <c r="V14" s="125"/>
      <c r="W14" s="117">
        <v>3881.99</v>
      </c>
      <c r="X14" s="117">
        <v>5647.7</v>
      </c>
      <c r="Y14" s="117"/>
      <c r="Z14" s="117">
        <v>4047.7</v>
      </c>
      <c r="AA14" s="117">
        <v>4031.43</v>
      </c>
      <c r="AB14" s="117">
        <v>129</v>
      </c>
      <c r="AC14" s="192">
        <f t="shared" si="11"/>
        <v>0.8429030507002496</v>
      </c>
      <c r="AD14" s="163">
        <f t="shared" si="12"/>
        <v>0.454846612175714</v>
      </c>
      <c r="AE14" s="117">
        <v>121.75</v>
      </c>
      <c r="AF14" s="117">
        <v>26</v>
      </c>
      <c r="AG14" s="204">
        <f t="shared" si="26"/>
        <v>0.9437984496124031</v>
      </c>
      <c r="AH14" s="204">
        <f t="shared" si="28"/>
        <v>-0.786447638603696</v>
      </c>
      <c r="AI14" s="223" t="s">
        <v>61</v>
      </c>
      <c r="AJ14" s="116"/>
      <c r="AK14" s="221"/>
      <c r="AL14" s="116">
        <v>352</v>
      </c>
      <c r="AM14" s="116">
        <v>692</v>
      </c>
      <c r="AN14" s="116">
        <v>960</v>
      </c>
      <c r="AO14" s="116">
        <v>1794</v>
      </c>
      <c r="AP14" s="117">
        <v>4990</v>
      </c>
      <c r="AQ14" s="117">
        <v>5022.7</v>
      </c>
      <c r="AR14" s="117">
        <v>4967.73</v>
      </c>
      <c r="AS14" s="117">
        <v>5489.32</v>
      </c>
      <c r="AT14" s="163">
        <f t="shared" si="13"/>
        <v>-0.004462925851703492</v>
      </c>
      <c r="AU14" s="117">
        <v>4883.39</v>
      </c>
      <c r="AV14" s="117">
        <v>5690.67</v>
      </c>
      <c r="AW14" s="163">
        <f t="shared" si="14"/>
        <v>0.9890556871802019</v>
      </c>
      <c r="AX14" s="163">
        <f t="shared" si="34"/>
        <v>0.1049956418726461</v>
      </c>
      <c r="AY14" s="119">
        <v>0</v>
      </c>
      <c r="AZ14" s="119">
        <v>0</v>
      </c>
      <c r="BA14" s="119">
        <v>0</v>
      </c>
      <c r="BB14" s="177"/>
      <c r="BC14" s="177"/>
      <c r="BD14" s="177" t="e">
        <f>(#REF!-#REF!)/#REF!</f>
        <v>#REF!</v>
      </c>
      <c r="BE14" s="117">
        <v>4232.35</v>
      </c>
      <c r="BF14" s="117">
        <v>5318.58</v>
      </c>
      <c r="BG14" s="117"/>
      <c r="BH14" s="117">
        <v>5449.91</v>
      </c>
      <c r="BI14" s="117">
        <v>5356.94</v>
      </c>
      <c r="BJ14" s="117">
        <v>1601.14</v>
      </c>
      <c r="BK14" s="117">
        <f t="shared" si="23"/>
        <v>0.7437349204926661</v>
      </c>
      <c r="BL14" s="117">
        <v>1648.95</v>
      </c>
      <c r="BM14" s="117">
        <v>1971.15</v>
      </c>
      <c r="BN14" s="204">
        <f t="shared" si="24"/>
        <v>1.0298599747679777</v>
      </c>
      <c r="BO14" s="264">
        <f t="shared" si="33"/>
        <v>0.19539707086327662</v>
      </c>
      <c r="BP14" s="266">
        <f t="shared" si="25"/>
        <v>0.2566493791865039</v>
      </c>
    </row>
    <row r="15" spans="1:68" s="88" customFormat="1" ht="33.75" customHeight="1">
      <c r="A15" s="120" t="s">
        <v>62</v>
      </c>
      <c r="B15" s="121" t="e">
        <f>#REF!-#REF!</f>
        <v>#REF!</v>
      </c>
      <c r="C15" s="121" t="e">
        <f>#REF!-#REF!</f>
        <v>#REF!</v>
      </c>
      <c r="D15" s="121">
        <f aca="true" t="shared" si="36" ref="D15:G15">SUM(D16:D17)</f>
        <v>0</v>
      </c>
      <c r="E15" s="121">
        <f t="shared" si="36"/>
        <v>0</v>
      </c>
      <c r="F15" s="121">
        <f t="shared" si="36"/>
        <v>0</v>
      </c>
      <c r="G15" s="121">
        <f t="shared" si="36"/>
        <v>0</v>
      </c>
      <c r="H15" s="122">
        <f aca="true" t="shared" si="37" ref="H15:J15">H16+H17</f>
        <v>0</v>
      </c>
      <c r="I15" s="122">
        <f t="shared" si="37"/>
        <v>0</v>
      </c>
      <c r="J15" s="122">
        <f t="shared" si="37"/>
        <v>0</v>
      </c>
      <c r="K15" s="122">
        <v>13622.31</v>
      </c>
      <c r="L15" s="164" t="e">
        <f t="shared" si="1"/>
        <v>#DIV/0!</v>
      </c>
      <c r="M15" s="122">
        <v>14088.47</v>
      </c>
      <c r="N15" s="122">
        <v>13655.79</v>
      </c>
      <c r="O15" s="164" t="e">
        <f t="shared" si="2"/>
        <v>#DIV/0!</v>
      </c>
      <c r="P15" s="164" t="e">
        <f t="shared" si="3"/>
        <v>#DIV/0!</v>
      </c>
      <c r="Q15" s="177" t="e">
        <f t="shared" si="35"/>
        <v>#DIV/0!</v>
      </c>
      <c r="R15" s="177" t="e">
        <f t="shared" si="5"/>
        <v>#DIV/0!</v>
      </c>
      <c r="S15" s="177" t="e">
        <f t="shared" si="6"/>
        <v>#DIV/0!</v>
      </c>
      <c r="T15" s="177"/>
      <c r="U15" s="177"/>
      <c r="V15" s="177"/>
      <c r="W15" s="122">
        <f aca="true" t="shared" si="38" ref="W15:AA15">W16+W17</f>
        <v>0</v>
      </c>
      <c r="X15" s="122">
        <f t="shared" si="38"/>
        <v>0</v>
      </c>
      <c r="Y15" s="122">
        <f>X15-W15</f>
        <v>0</v>
      </c>
      <c r="Z15" s="122">
        <f t="shared" si="38"/>
        <v>0</v>
      </c>
      <c r="AA15" s="122">
        <f t="shared" si="38"/>
        <v>0</v>
      </c>
      <c r="AB15" s="122">
        <f aca="true" t="shared" si="39" ref="AB15:AF15">SUM(AB16:AB21)</f>
        <v>17879</v>
      </c>
      <c r="AC15" s="193">
        <f t="shared" si="11"/>
        <v>0</v>
      </c>
      <c r="AD15" s="164" t="e">
        <f t="shared" si="12"/>
        <v>#DIV/0!</v>
      </c>
      <c r="AE15" s="122">
        <f t="shared" si="39"/>
        <v>20096.07</v>
      </c>
      <c r="AF15" s="122">
        <f t="shared" si="39"/>
        <v>19494.1</v>
      </c>
      <c r="AG15" s="204">
        <f t="shared" si="26"/>
        <v>1.1240041389339448</v>
      </c>
      <c r="AH15" s="204">
        <f t="shared" si="28"/>
        <v>-0.02995461301637592</v>
      </c>
      <c r="AI15" s="223" t="s">
        <v>63</v>
      </c>
      <c r="AJ15" s="116"/>
      <c r="AK15" s="221"/>
      <c r="AL15" s="116">
        <v>1754</v>
      </c>
      <c r="AM15" s="116">
        <v>830</v>
      </c>
      <c r="AN15" s="116">
        <v>884</v>
      </c>
      <c r="AO15" s="116">
        <v>401</v>
      </c>
      <c r="AP15" s="117">
        <v>391</v>
      </c>
      <c r="AQ15" s="117">
        <v>601.4</v>
      </c>
      <c r="AR15" s="117">
        <v>881.43</v>
      </c>
      <c r="AS15" s="117">
        <v>1473.51</v>
      </c>
      <c r="AT15" s="163">
        <f t="shared" si="13"/>
        <v>1.2542966751918159</v>
      </c>
      <c r="AU15" s="117">
        <v>642.17</v>
      </c>
      <c r="AV15" s="117">
        <v>311.69</v>
      </c>
      <c r="AW15" s="163">
        <f t="shared" si="14"/>
        <v>1.465630196208846</v>
      </c>
      <c r="AX15" s="163">
        <f t="shared" si="34"/>
        <v>0.6717266260508492</v>
      </c>
      <c r="AY15" s="177">
        <f>(AP14-AN14)/AN14</f>
        <v>4.197916666666667</v>
      </c>
      <c r="AZ15" s="177">
        <f>AP14/AO14</f>
        <v>2.78149386845039</v>
      </c>
      <c r="BA15" s="177">
        <f>(AQ14-AP14)/AP14</f>
        <v>0.006553106212424813</v>
      </c>
      <c r="BB15" s="177">
        <f>(AN14-AL14)/AL14</f>
        <v>1.7272727272727273</v>
      </c>
      <c r="BC15" s="177">
        <f>AN14/AM14</f>
        <v>1.3872832369942196</v>
      </c>
      <c r="BD15" s="177">
        <f>(AO14-AN14)/AN14</f>
        <v>0.86875</v>
      </c>
      <c r="BE15" s="117">
        <v>465.71</v>
      </c>
      <c r="BF15" s="117">
        <v>887.98</v>
      </c>
      <c r="BG15" s="117"/>
      <c r="BH15" s="117">
        <v>867.97</v>
      </c>
      <c r="BI15" s="117">
        <v>696.85</v>
      </c>
      <c r="BJ15" s="117">
        <v>1192.49</v>
      </c>
      <c r="BK15" s="117">
        <f t="shared" si="23"/>
        <v>1.4941448233822066</v>
      </c>
      <c r="BL15" s="117">
        <v>943.22</v>
      </c>
      <c r="BM15" s="117">
        <v>2809.94</v>
      </c>
      <c r="BN15" s="204">
        <f t="shared" si="24"/>
        <v>0.7909668005601724</v>
      </c>
      <c r="BO15" s="264">
        <f t="shared" si="33"/>
        <v>1.9790928945527022</v>
      </c>
      <c r="BP15" s="266">
        <f t="shared" si="25"/>
        <v>0.9067230680036935</v>
      </c>
    </row>
    <row r="16" spans="1:68" s="88" customFormat="1" ht="33.75" customHeight="1">
      <c r="A16" s="123" t="s">
        <v>64</v>
      </c>
      <c r="B16" s="115"/>
      <c r="C16" s="115"/>
      <c r="D16" s="116"/>
      <c r="E16" s="116"/>
      <c r="F16" s="116"/>
      <c r="G16" s="116"/>
      <c r="H16" s="117"/>
      <c r="I16" s="117"/>
      <c r="J16" s="117"/>
      <c r="K16" s="117"/>
      <c r="L16" s="163"/>
      <c r="M16" s="117"/>
      <c r="N16" s="117"/>
      <c r="O16" s="163"/>
      <c r="P16" s="163"/>
      <c r="Q16" s="177"/>
      <c r="R16" s="177"/>
      <c r="S16" s="177"/>
      <c r="T16" s="177"/>
      <c r="U16" s="177"/>
      <c r="V16" s="177"/>
      <c r="W16" s="117"/>
      <c r="X16" s="117"/>
      <c r="Y16" s="117"/>
      <c r="Z16" s="117"/>
      <c r="AA16" s="117"/>
      <c r="AB16" s="117">
        <v>7393</v>
      </c>
      <c r="AC16" s="192"/>
      <c r="AD16" s="163"/>
      <c r="AE16" s="117">
        <v>7769</v>
      </c>
      <c r="AF16" s="117">
        <v>7100</v>
      </c>
      <c r="AG16" s="204">
        <f t="shared" si="26"/>
        <v>1.050858920600568</v>
      </c>
      <c r="AH16" s="204">
        <f t="shared" si="28"/>
        <v>-0.08611146865748487</v>
      </c>
      <c r="AI16" s="220" t="s">
        <v>65</v>
      </c>
      <c r="AJ16" s="116"/>
      <c r="AK16" s="221"/>
      <c r="AL16" s="116">
        <v>1145</v>
      </c>
      <c r="AM16" s="116">
        <v>1189</v>
      </c>
      <c r="AN16" s="116">
        <v>1237</v>
      </c>
      <c r="AO16" s="116">
        <v>2522</v>
      </c>
      <c r="AP16" s="117">
        <v>1578</v>
      </c>
      <c r="AQ16" s="117">
        <v>2267.44</v>
      </c>
      <c r="AR16" s="117">
        <v>2051.16</v>
      </c>
      <c r="AS16" s="117">
        <v>3362.74</v>
      </c>
      <c r="AT16" s="163">
        <f t="shared" si="13"/>
        <v>0.299847908745247</v>
      </c>
      <c r="AU16" s="117">
        <v>3458.79</v>
      </c>
      <c r="AV16" s="117">
        <v>4226.03</v>
      </c>
      <c r="AW16" s="163">
        <f t="shared" si="14"/>
        <v>0.9046148960942736</v>
      </c>
      <c r="AX16" s="163">
        <f t="shared" si="34"/>
        <v>0.6394332962811287</v>
      </c>
      <c r="AY16" s="177">
        <f>(AP15-AN15)/AN15</f>
        <v>-0.5576923076923077</v>
      </c>
      <c r="AZ16" s="177">
        <f>AP15/AO15</f>
        <v>0.9750623441396509</v>
      </c>
      <c r="BA16" s="177">
        <f>(AQ15-AP15)/AP15</f>
        <v>0.5381074168797954</v>
      </c>
      <c r="BB16" s="177">
        <f>(AN15-AL15)/AL15</f>
        <v>-0.4960091220068415</v>
      </c>
      <c r="BC16" s="177">
        <f>AN15/AM15</f>
        <v>1.0650602409638554</v>
      </c>
      <c r="BD16" s="177">
        <f>(AO15-AN15)/AN15</f>
        <v>-0.5463800904977375</v>
      </c>
      <c r="BE16" s="117">
        <v>3119.12</v>
      </c>
      <c r="BF16" s="117">
        <v>1454.66</v>
      </c>
      <c r="BG16" s="117"/>
      <c r="BH16" s="117">
        <v>3887.11</v>
      </c>
      <c r="BI16" s="117">
        <v>3785.78</v>
      </c>
      <c r="BJ16" s="117">
        <v>4054.929999999999</v>
      </c>
      <c r="BK16" s="117">
        <f t="shared" si="23"/>
        <v>0.7380733217700773</v>
      </c>
      <c r="BL16" s="117">
        <v>4079.52</v>
      </c>
      <c r="BM16" s="117">
        <v>3783.57</v>
      </c>
      <c r="BN16" s="204">
        <f t="shared" si="24"/>
        <v>1.0060642230568717</v>
      </c>
      <c r="BO16" s="264">
        <f t="shared" si="33"/>
        <v>-0.07254529944699373</v>
      </c>
      <c r="BP16" s="266">
        <f t="shared" si="25"/>
        <v>-0.53363128061761</v>
      </c>
    </row>
    <row r="17" spans="1:68" s="88" customFormat="1" ht="33.75" customHeight="1">
      <c r="A17" s="123" t="s">
        <v>66</v>
      </c>
      <c r="B17" s="115"/>
      <c r="C17" s="115"/>
      <c r="D17" s="116"/>
      <c r="E17" s="116"/>
      <c r="F17" s="116"/>
      <c r="G17" s="116"/>
      <c r="H17" s="117"/>
      <c r="I17" s="117"/>
      <c r="J17" s="117"/>
      <c r="K17" s="117"/>
      <c r="L17" s="163"/>
      <c r="M17" s="117"/>
      <c r="N17" s="117"/>
      <c r="O17" s="163"/>
      <c r="P17" s="163"/>
      <c r="Q17" s="177"/>
      <c r="R17" s="177"/>
      <c r="S17" s="177"/>
      <c r="T17" s="177"/>
      <c r="U17" s="177"/>
      <c r="V17" s="177"/>
      <c r="W17" s="117"/>
      <c r="X17" s="117"/>
      <c r="Y17" s="117"/>
      <c r="Z17" s="117"/>
      <c r="AA17" s="117"/>
      <c r="AB17" s="117">
        <v>0</v>
      </c>
      <c r="AC17" s="192"/>
      <c r="AD17" s="163"/>
      <c r="AE17" s="117">
        <v>0</v>
      </c>
      <c r="AF17" s="117">
        <v>0</v>
      </c>
      <c r="AG17" s="200">
        <v>0</v>
      </c>
      <c r="AH17" s="200">
        <v>0</v>
      </c>
      <c r="AI17" s="222" t="s">
        <v>67</v>
      </c>
      <c r="AJ17" s="116"/>
      <c r="AK17" s="221"/>
      <c r="AL17" s="116">
        <v>5292</v>
      </c>
      <c r="AM17" s="116">
        <v>5872</v>
      </c>
      <c r="AN17" s="116">
        <v>4254</v>
      </c>
      <c r="AO17" s="116">
        <v>7910</v>
      </c>
      <c r="AP17" s="117">
        <v>4186</v>
      </c>
      <c r="AQ17" s="117">
        <v>6292.78</v>
      </c>
      <c r="AR17" s="117">
        <v>3597.79</v>
      </c>
      <c r="AS17" s="117">
        <v>3390.43</v>
      </c>
      <c r="AT17" s="163">
        <f t="shared" si="13"/>
        <v>-0.14051839464882943</v>
      </c>
      <c r="AU17" s="117">
        <v>2409.06</v>
      </c>
      <c r="AV17" s="117">
        <v>1911.78</v>
      </c>
      <c r="AW17" s="163">
        <f t="shared" si="14"/>
        <v>0.5717330019482645</v>
      </c>
      <c r="AX17" s="163">
        <f t="shared" si="34"/>
        <v>-0.057635381720445134</v>
      </c>
      <c r="AY17" s="177" t="e">
        <f>(#REF!-#REF!)/#REF!</f>
        <v>#REF!</v>
      </c>
      <c r="AZ17" s="177" t="e">
        <f>#REF!/#REF!</f>
        <v>#REF!</v>
      </c>
      <c r="BA17" s="177"/>
      <c r="BB17" s="177" t="e">
        <f>(#REF!-#REF!)/#REF!</f>
        <v>#REF!</v>
      </c>
      <c r="BC17" s="177" t="e">
        <f>#REF!/#REF!</f>
        <v>#REF!</v>
      </c>
      <c r="BD17" s="177" t="e">
        <f>(#REF!-#REF!)/#REF!</f>
        <v>#REF!</v>
      </c>
      <c r="BE17" s="117">
        <v>2070.92</v>
      </c>
      <c r="BF17" s="117">
        <v>2057.98</v>
      </c>
      <c r="BG17" s="117"/>
      <c r="BH17" s="117">
        <v>2640.97</v>
      </c>
      <c r="BI17" s="117">
        <v>1984.7</v>
      </c>
      <c r="BJ17" s="117">
        <v>3529.8700000000003</v>
      </c>
      <c r="BK17" s="117">
        <f t="shared" si="23"/>
        <v>1.0832417956040967</v>
      </c>
      <c r="BL17" s="117">
        <f>3068.51-0.01</f>
        <v>3068.5</v>
      </c>
      <c r="BM17" s="117">
        <v>3764.74</v>
      </c>
      <c r="BN17" s="204">
        <f t="shared" si="24"/>
        <v>0.869295469804837</v>
      </c>
      <c r="BO17" s="264">
        <f t="shared" si="33"/>
        <v>0.22689913638585613</v>
      </c>
      <c r="BP17" s="266">
        <f t="shared" si="25"/>
        <v>-0.006248430649180126</v>
      </c>
    </row>
    <row r="18" spans="1:68" s="88" customFormat="1" ht="33.75" customHeight="1">
      <c r="A18" s="123" t="s">
        <v>68</v>
      </c>
      <c r="B18" s="115"/>
      <c r="C18" s="115"/>
      <c r="D18" s="116"/>
      <c r="E18" s="116"/>
      <c r="F18" s="116"/>
      <c r="G18" s="116"/>
      <c r="H18" s="117"/>
      <c r="I18" s="117"/>
      <c r="J18" s="117"/>
      <c r="K18" s="117"/>
      <c r="L18" s="163"/>
      <c r="M18" s="117"/>
      <c r="N18" s="117"/>
      <c r="O18" s="163"/>
      <c r="P18" s="163"/>
      <c r="Q18" s="177"/>
      <c r="R18" s="177"/>
      <c r="S18" s="177"/>
      <c r="T18" s="177"/>
      <c r="U18" s="177"/>
      <c r="V18" s="177"/>
      <c r="W18" s="117"/>
      <c r="X18" s="117"/>
      <c r="Y18" s="117"/>
      <c r="Z18" s="117"/>
      <c r="AA18" s="117"/>
      <c r="AB18" s="117">
        <v>924</v>
      </c>
      <c r="AC18" s="192"/>
      <c r="AD18" s="163"/>
      <c r="AE18" s="117">
        <v>924.04</v>
      </c>
      <c r="AF18" s="117">
        <v>1010.54</v>
      </c>
      <c r="AG18" s="204">
        <f aca="true" t="shared" si="40" ref="AG18:AG20">AE18/AB18</f>
        <v>1.00004329004329</v>
      </c>
      <c r="AH18" s="204">
        <f aca="true" t="shared" si="41" ref="AH18:AH20">AF18/AE18-1</f>
        <v>0.09361066620492631</v>
      </c>
      <c r="AI18" s="223" t="s">
        <v>69</v>
      </c>
      <c r="AJ18" s="116"/>
      <c r="AK18" s="221"/>
      <c r="AL18" s="116">
        <v>240</v>
      </c>
      <c r="AM18" s="116">
        <v>45</v>
      </c>
      <c r="AN18" s="116">
        <v>51</v>
      </c>
      <c r="AO18" s="116">
        <v>54</v>
      </c>
      <c r="AP18" s="117">
        <v>106</v>
      </c>
      <c r="AQ18" s="117">
        <v>111.08</v>
      </c>
      <c r="AR18" s="117">
        <v>579.77</v>
      </c>
      <c r="AS18" s="117">
        <v>253.31</v>
      </c>
      <c r="AT18" s="163">
        <f t="shared" si="13"/>
        <v>4.469528301886792</v>
      </c>
      <c r="AU18" s="117">
        <v>110.73</v>
      </c>
      <c r="AV18" s="117">
        <v>177.89</v>
      </c>
      <c r="AW18" s="163">
        <f t="shared" si="14"/>
        <v>5.219391429600288</v>
      </c>
      <c r="AX18" s="163">
        <f t="shared" si="34"/>
        <v>-0.5630853614364317</v>
      </c>
      <c r="AY18" s="177" t="e">
        <f>(#REF!-#REF!)/#REF!</f>
        <v>#REF!</v>
      </c>
      <c r="AZ18" s="177" t="e">
        <f>#REF!/#REF!</f>
        <v>#REF!</v>
      </c>
      <c r="BA18" s="177" t="e">
        <f>(#REF!-#REF!)/#REF!</f>
        <v>#REF!</v>
      </c>
      <c r="BB18" s="177" t="e">
        <f>(#REF!-#REF!)/#REF!</f>
        <v>#REF!</v>
      </c>
      <c r="BC18" s="177" t="e">
        <f>#REF!/#REF!</f>
        <v>#REF!</v>
      </c>
      <c r="BD18" s="177" t="e">
        <f>(#REF!-#REF!)/#REF!</f>
        <v>#REF!</v>
      </c>
      <c r="BE18" s="117">
        <v>1773.94</v>
      </c>
      <c r="BF18" s="117">
        <v>6239.28</v>
      </c>
      <c r="BG18" s="117"/>
      <c r="BH18" s="117">
        <v>5900.13</v>
      </c>
      <c r="BI18" s="117">
        <v>5234.63</v>
      </c>
      <c r="BJ18" s="117">
        <v>1483.57</v>
      </c>
      <c r="BK18" s="117">
        <f t="shared" si="23"/>
        <v>9.972117600764518</v>
      </c>
      <c r="BL18" s="117">
        <v>1465.68</v>
      </c>
      <c r="BM18" s="117">
        <v>1534.98</v>
      </c>
      <c r="BN18" s="204">
        <f t="shared" si="24"/>
        <v>0.987941249823062</v>
      </c>
      <c r="BO18" s="264">
        <f t="shared" si="33"/>
        <v>0.04728180776158508</v>
      </c>
      <c r="BP18" s="266">
        <f t="shared" si="25"/>
        <v>2.51718772901</v>
      </c>
    </row>
    <row r="19" spans="1:68" s="88" customFormat="1" ht="33.75" customHeight="1">
      <c r="A19" s="123" t="s">
        <v>70</v>
      </c>
      <c r="B19" s="115"/>
      <c r="C19" s="115"/>
      <c r="D19" s="116"/>
      <c r="E19" s="116"/>
      <c r="F19" s="116"/>
      <c r="G19" s="116"/>
      <c r="H19" s="117"/>
      <c r="I19" s="117"/>
      <c r="J19" s="117"/>
      <c r="K19" s="117"/>
      <c r="L19" s="163"/>
      <c r="M19" s="117"/>
      <c r="N19" s="117"/>
      <c r="O19" s="163"/>
      <c r="P19" s="163"/>
      <c r="Q19" s="177"/>
      <c r="R19" s="177"/>
      <c r="S19" s="177"/>
      <c r="T19" s="177"/>
      <c r="U19" s="177"/>
      <c r="V19" s="177"/>
      <c r="W19" s="117"/>
      <c r="X19" s="117"/>
      <c r="Y19" s="117"/>
      <c r="Z19" s="117"/>
      <c r="AA19" s="117"/>
      <c r="AB19" s="117">
        <v>3562</v>
      </c>
      <c r="AC19" s="192" t="e">
        <f>W19/N19</f>
        <v>#DIV/0!</v>
      </c>
      <c r="AD19" s="163" t="e">
        <f>X19/W19-1</f>
        <v>#DIV/0!</v>
      </c>
      <c r="AE19" s="117">
        <v>5403.03</v>
      </c>
      <c r="AF19" s="117">
        <v>5383.56</v>
      </c>
      <c r="AG19" s="204">
        <f t="shared" si="40"/>
        <v>1.5168528916339135</v>
      </c>
      <c r="AH19" s="204">
        <f t="shared" si="41"/>
        <v>-0.003603533572828499</v>
      </c>
      <c r="AI19" s="223" t="s">
        <v>71</v>
      </c>
      <c r="AJ19" s="116"/>
      <c r="AK19" s="221"/>
      <c r="AL19" s="116">
        <v>60</v>
      </c>
      <c r="AM19" s="116">
        <v>63</v>
      </c>
      <c r="AN19" s="116">
        <v>76</v>
      </c>
      <c r="AO19" s="116">
        <v>61</v>
      </c>
      <c r="AP19" s="117">
        <v>225</v>
      </c>
      <c r="AQ19" s="117">
        <v>271.96</v>
      </c>
      <c r="AR19" s="117">
        <v>204.47</v>
      </c>
      <c r="AS19" s="117">
        <v>258.65</v>
      </c>
      <c r="AT19" s="163">
        <f t="shared" si="13"/>
        <v>-0.09124444444444446</v>
      </c>
      <c r="AU19" s="117">
        <v>214.6</v>
      </c>
      <c r="AV19" s="117">
        <v>72.72</v>
      </c>
      <c r="AW19" s="163">
        <f t="shared" si="14"/>
        <v>0.7518385056625975</v>
      </c>
      <c r="AX19" s="163">
        <f t="shared" si="34"/>
        <v>0.2649777473467989</v>
      </c>
      <c r="AY19" s="177" t="e">
        <f>(#REF!-#REF!)/#REF!</f>
        <v>#REF!</v>
      </c>
      <c r="AZ19" s="177" t="e">
        <f>#REF!/#REF!</f>
        <v>#REF!</v>
      </c>
      <c r="BA19" s="177" t="e">
        <f>(#REF!-#REF!)/#REF!</f>
        <v>#REF!</v>
      </c>
      <c r="BB19" s="177" t="e">
        <f>(#REF!-#REF!)/#REF!</f>
        <v>#REF!</v>
      </c>
      <c r="BC19" s="177" t="e">
        <f>#REF!/#REF!</f>
        <v>#REF!</v>
      </c>
      <c r="BD19" s="177" t="e">
        <f>(#REF!-#REF!)/#REF!</f>
        <v>#REF!</v>
      </c>
      <c r="BE19" s="117">
        <v>37.89</v>
      </c>
      <c r="BF19" s="117">
        <v>5035.61</v>
      </c>
      <c r="BG19" s="117"/>
      <c r="BH19" s="117">
        <v>183.61</v>
      </c>
      <c r="BI19" s="117">
        <v>168.67</v>
      </c>
      <c r="BJ19" s="117">
        <v>1510.69</v>
      </c>
      <c r="BK19" s="117">
        <f t="shared" si="23"/>
        <v>0.5210396039603961</v>
      </c>
      <c r="BL19" s="117">
        <v>1469.19</v>
      </c>
      <c r="BM19" s="117">
        <v>316.97</v>
      </c>
      <c r="BN19" s="204">
        <f t="shared" si="24"/>
        <v>0.9725291092149945</v>
      </c>
      <c r="BO19" s="264">
        <f t="shared" si="33"/>
        <v>-0.784255269910631</v>
      </c>
      <c r="BP19" s="266">
        <f t="shared" si="25"/>
        <v>131.90076537344945</v>
      </c>
    </row>
    <row r="20" spans="1:68" s="88" customFormat="1" ht="33.75" customHeight="1">
      <c r="A20" s="123" t="s">
        <v>72</v>
      </c>
      <c r="B20" s="115"/>
      <c r="C20" s="115"/>
      <c r="D20" s="116"/>
      <c r="E20" s="116"/>
      <c r="F20" s="116"/>
      <c r="G20" s="116"/>
      <c r="H20" s="117"/>
      <c r="I20" s="117"/>
      <c r="J20" s="117"/>
      <c r="K20" s="117"/>
      <c r="L20" s="163"/>
      <c r="M20" s="117"/>
      <c r="N20" s="117"/>
      <c r="O20" s="163"/>
      <c r="P20" s="163"/>
      <c r="Q20" s="177"/>
      <c r="R20" s="177"/>
      <c r="S20" s="177"/>
      <c r="T20" s="177"/>
      <c r="U20" s="177"/>
      <c r="V20" s="177"/>
      <c r="W20" s="117"/>
      <c r="X20" s="117"/>
      <c r="Y20" s="117"/>
      <c r="Z20" s="117"/>
      <c r="AA20" s="117"/>
      <c r="AB20" s="117">
        <v>6000</v>
      </c>
      <c r="AC20" s="192"/>
      <c r="AD20" s="163"/>
      <c r="AE20" s="117">
        <v>6000</v>
      </c>
      <c r="AF20" s="117">
        <v>6000</v>
      </c>
      <c r="AG20" s="204">
        <f t="shared" si="40"/>
        <v>1</v>
      </c>
      <c r="AH20" s="204">
        <f t="shared" si="41"/>
        <v>0</v>
      </c>
      <c r="AI20" s="223" t="s">
        <v>73</v>
      </c>
      <c r="AJ20" s="116"/>
      <c r="AK20" s="221"/>
      <c r="AL20" s="116">
        <v>52</v>
      </c>
      <c r="AM20" s="116">
        <v>101</v>
      </c>
      <c r="AN20" s="116">
        <v>113</v>
      </c>
      <c r="AO20" s="116">
        <v>127</v>
      </c>
      <c r="AP20" s="117">
        <v>282</v>
      </c>
      <c r="AQ20" s="117">
        <v>16.09</v>
      </c>
      <c r="AR20" s="117">
        <v>100.24</v>
      </c>
      <c r="AS20" s="117">
        <v>6.33</v>
      </c>
      <c r="AT20" s="163">
        <f t="shared" si="13"/>
        <v>-0.6445390070921986</v>
      </c>
      <c r="AU20" s="117">
        <v>456.31</v>
      </c>
      <c r="AV20" s="117">
        <v>6.6</v>
      </c>
      <c r="AW20" s="117">
        <f t="shared" si="14"/>
        <v>6.229956494717215</v>
      </c>
      <c r="AX20" s="117">
        <f t="shared" si="34"/>
        <v>-0.9368515562649641</v>
      </c>
      <c r="AY20" s="117">
        <f>(AP18-AN18)/AN18</f>
        <v>1.0784313725490196</v>
      </c>
      <c r="AZ20" s="117">
        <f>AP18/AO18</f>
        <v>1.962962962962963</v>
      </c>
      <c r="BA20" s="117">
        <f>(AQ18-AP18)/AP18</f>
        <v>0.047924528301886773</v>
      </c>
      <c r="BB20" s="117">
        <f>(AN18-AL18)/AL18</f>
        <v>-0.7875</v>
      </c>
      <c r="BC20" s="117">
        <f>AN18/AM18</f>
        <v>1.1333333333333333</v>
      </c>
      <c r="BD20" s="117">
        <f>(AO18-AN18)/AN18</f>
        <v>0.058823529411764705</v>
      </c>
      <c r="BE20" s="117">
        <v>8.52</v>
      </c>
      <c r="BF20" s="117">
        <v>44.35</v>
      </c>
      <c r="BG20" s="117"/>
      <c r="BH20" s="117">
        <v>53.1</v>
      </c>
      <c r="BI20" s="117">
        <v>44.49</v>
      </c>
      <c r="BJ20" s="117">
        <v>10</v>
      </c>
      <c r="BK20" s="117">
        <f t="shared" si="23"/>
        <v>1.290909090909091</v>
      </c>
      <c r="BL20" s="117">
        <v>5</v>
      </c>
      <c r="BM20" s="117">
        <v>28.38</v>
      </c>
      <c r="BN20" s="204">
        <f t="shared" si="24"/>
        <v>0.5</v>
      </c>
      <c r="BO20" s="264">
        <f t="shared" si="33"/>
        <v>4.676</v>
      </c>
      <c r="BP20" s="266">
        <f t="shared" si="25"/>
        <v>4.205399061032864</v>
      </c>
    </row>
    <row r="21" spans="1:68" s="88" customFormat="1" ht="33.75" customHeight="1">
      <c r="A21" s="124" t="s">
        <v>74</v>
      </c>
      <c r="B21" s="125"/>
      <c r="C21" s="125"/>
      <c r="D21" s="125"/>
      <c r="E21" s="125"/>
      <c r="F21" s="125"/>
      <c r="G21" s="125"/>
      <c r="H21" s="126"/>
      <c r="I21" s="126"/>
      <c r="J21" s="126"/>
      <c r="K21" s="126"/>
      <c r="L21" s="163"/>
      <c r="M21" s="117"/>
      <c r="N21" s="117"/>
      <c r="O21" s="163"/>
      <c r="P21" s="163"/>
      <c r="Q21" s="177"/>
      <c r="R21" s="177"/>
      <c r="S21" s="177"/>
      <c r="T21" s="177" t="e">
        <f aca="true" t="shared" si="42" ref="T21:T24">(F15-D15)/D15</f>
        <v>#DIV/0!</v>
      </c>
      <c r="U21" s="177" t="e">
        <f aca="true" t="shared" si="43" ref="U21:U24">F15/E15</f>
        <v>#DIV/0!</v>
      </c>
      <c r="V21" s="177" t="e">
        <f aca="true" t="shared" si="44" ref="V21:V24">(G15-F15)/F15</f>
        <v>#DIV/0!</v>
      </c>
      <c r="W21" s="178"/>
      <c r="X21" s="178"/>
      <c r="Y21" s="178"/>
      <c r="Z21" s="178"/>
      <c r="AA21" s="178"/>
      <c r="AB21" s="117">
        <v>0</v>
      </c>
      <c r="AC21" s="193"/>
      <c r="AD21" s="164"/>
      <c r="AE21" s="117">
        <v>0</v>
      </c>
      <c r="AF21" s="122">
        <v>0</v>
      </c>
      <c r="AG21" s="201">
        <v>0</v>
      </c>
      <c r="AH21" s="200">
        <v>0</v>
      </c>
      <c r="AI21" s="222" t="s">
        <v>75</v>
      </c>
      <c r="AJ21" s="116"/>
      <c r="AK21" s="221"/>
      <c r="AL21" s="119">
        <v>0</v>
      </c>
      <c r="AM21" s="119">
        <v>0</v>
      </c>
      <c r="AN21" s="116">
        <v>200</v>
      </c>
      <c r="AO21" s="116">
        <v>50</v>
      </c>
      <c r="AP21" s="117">
        <v>11</v>
      </c>
      <c r="AQ21" s="117">
        <v>11.4</v>
      </c>
      <c r="AR21" s="117">
        <v>0.68</v>
      </c>
      <c r="AS21" s="117">
        <v>3.94</v>
      </c>
      <c r="AT21" s="163">
        <f t="shared" si="13"/>
        <v>-0.9381818181818182</v>
      </c>
      <c r="AU21" s="117">
        <v>400.78</v>
      </c>
      <c r="AV21" s="117">
        <v>2.66</v>
      </c>
      <c r="AW21" s="117">
        <f t="shared" si="14"/>
        <v>0.05964912280701755</v>
      </c>
      <c r="AX21" s="117">
        <f t="shared" si="34"/>
        <v>4.794117647058823</v>
      </c>
      <c r="AY21" s="117">
        <v>0</v>
      </c>
      <c r="AZ21" s="117" t="e">
        <f>0/#REF!</f>
        <v>#REF!</v>
      </c>
      <c r="BA21" s="117">
        <v>0</v>
      </c>
      <c r="BB21" s="117" t="e">
        <f>0/#REF!</f>
        <v>#REF!</v>
      </c>
      <c r="BC21" s="117" t="e">
        <f>0/AY21</f>
        <v>#DIV/0!</v>
      </c>
      <c r="BD21" s="117" t="e">
        <f>0/AZ21</f>
        <v>#REF!</v>
      </c>
      <c r="BE21" s="117">
        <v>1.55</v>
      </c>
      <c r="BF21" s="117">
        <v>2.41</v>
      </c>
      <c r="BG21" s="117"/>
      <c r="BH21" s="117">
        <v>2.41</v>
      </c>
      <c r="BI21" s="117">
        <v>1.19</v>
      </c>
      <c r="BJ21" s="117">
        <v>2.2</v>
      </c>
      <c r="BK21" s="117">
        <f t="shared" si="23"/>
        <v>0.5827067669172932</v>
      </c>
      <c r="BL21" s="117">
        <v>1.89</v>
      </c>
      <c r="BM21" s="117">
        <v>1.95</v>
      </c>
      <c r="BN21" s="204">
        <f t="shared" si="24"/>
        <v>0.859090909090909</v>
      </c>
      <c r="BO21" s="264">
        <f t="shared" si="33"/>
        <v>0.031746031746031855</v>
      </c>
      <c r="BP21" s="266"/>
    </row>
    <row r="22" spans="1:68" s="88" customFormat="1" ht="33.75" customHeight="1">
      <c r="A22" s="127" t="s">
        <v>76</v>
      </c>
      <c r="B22" s="125"/>
      <c r="C22" s="125"/>
      <c r="D22" s="125"/>
      <c r="E22" s="125"/>
      <c r="F22" s="125"/>
      <c r="G22" s="125"/>
      <c r="H22" s="126"/>
      <c r="I22" s="126"/>
      <c r="J22" s="126"/>
      <c r="K22" s="126"/>
      <c r="L22" s="163"/>
      <c r="M22" s="117"/>
      <c r="N22" s="117"/>
      <c r="O22" s="163"/>
      <c r="P22" s="163"/>
      <c r="Q22" s="177"/>
      <c r="R22" s="177"/>
      <c r="S22" s="177"/>
      <c r="T22" s="177" t="e">
        <f t="shared" si="42"/>
        <v>#DIV/0!</v>
      </c>
      <c r="U22" s="177" t="e">
        <f t="shared" si="43"/>
        <v>#DIV/0!</v>
      </c>
      <c r="V22" s="177" t="e">
        <f t="shared" si="44"/>
        <v>#DIV/0!</v>
      </c>
      <c r="W22" s="178"/>
      <c r="X22" s="178"/>
      <c r="Y22" s="178"/>
      <c r="Z22" s="178"/>
      <c r="AA22" s="178"/>
      <c r="AB22" s="117">
        <v>0</v>
      </c>
      <c r="AC22" s="193"/>
      <c r="AD22" s="164"/>
      <c r="AE22" s="117">
        <v>0</v>
      </c>
      <c r="AF22" s="122">
        <v>1500</v>
      </c>
      <c r="AG22" s="201">
        <v>0</v>
      </c>
      <c r="AH22" s="200">
        <v>0</v>
      </c>
      <c r="AI22" s="223" t="s">
        <v>77</v>
      </c>
      <c r="AJ22" s="116"/>
      <c r="AK22" s="221"/>
      <c r="AL22" s="116"/>
      <c r="AM22" s="116"/>
      <c r="AN22" s="116"/>
      <c r="AO22" s="116"/>
      <c r="AP22" s="117"/>
      <c r="AQ22" s="117"/>
      <c r="AR22" s="117"/>
      <c r="AS22" s="117"/>
      <c r="AT22" s="163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>
        <v>0</v>
      </c>
      <c r="BK22" s="117"/>
      <c r="BL22" s="117">
        <v>0</v>
      </c>
      <c r="BM22" s="117">
        <v>0</v>
      </c>
      <c r="BN22" s="200">
        <v>0</v>
      </c>
      <c r="BO22" s="267">
        <v>0</v>
      </c>
      <c r="BP22" s="266"/>
    </row>
    <row r="23" spans="1:68" s="88" customFormat="1" ht="33.75" customHeight="1">
      <c r="A23" s="127" t="s">
        <v>78</v>
      </c>
      <c r="B23" s="115"/>
      <c r="C23" s="115"/>
      <c r="D23" s="116"/>
      <c r="E23" s="116"/>
      <c r="F23" s="116"/>
      <c r="G23" s="116"/>
      <c r="H23" s="117"/>
      <c r="I23" s="117"/>
      <c r="J23" s="117"/>
      <c r="K23" s="117"/>
      <c r="L23" s="163"/>
      <c r="M23" s="117"/>
      <c r="N23" s="117"/>
      <c r="O23" s="163"/>
      <c r="P23" s="163"/>
      <c r="Q23" s="177"/>
      <c r="R23" s="177"/>
      <c r="S23" s="177"/>
      <c r="T23" s="177"/>
      <c r="U23" s="177"/>
      <c r="V23" s="177"/>
      <c r="W23" s="117"/>
      <c r="X23" s="117"/>
      <c r="Y23" s="117"/>
      <c r="Z23" s="117"/>
      <c r="AA23" s="117"/>
      <c r="AB23" s="117">
        <v>0</v>
      </c>
      <c r="AC23" s="192"/>
      <c r="AD23" s="163"/>
      <c r="AE23" s="117">
        <v>0</v>
      </c>
      <c r="AF23" s="117">
        <v>0</v>
      </c>
      <c r="AG23" s="201">
        <v>0</v>
      </c>
      <c r="AH23" s="200">
        <v>0</v>
      </c>
      <c r="AI23" s="220" t="s">
        <v>79</v>
      </c>
      <c r="AJ23" s="116"/>
      <c r="AK23" s="221"/>
      <c r="AL23" s="116">
        <v>112</v>
      </c>
      <c r="AM23" s="116">
        <v>101</v>
      </c>
      <c r="AN23" s="116">
        <v>240</v>
      </c>
      <c r="AO23" s="116">
        <v>163</v>
      </c>
      <c r="AP23" s="117">
        <v>150</v>
      </c>
      <c r="AQ23" s="117">
        <v>393.65</v>
      </c>
      <c r="AR23" s="117">
        <v>215.37</v>
      </c>
      <c r="AS23" s="117">
        <v>351.3</v>
      </c>
      <c r="AT23" s="163">
        <f>AR23/AP23-1</f>
        <v>0.43579999999999997</v>
      </c>
      <c r="AU23" s="117">
        <v>186.36</v>
      </c>
      <c r="AV23" s="117">
        <v>446.24</v>
      </c>
      <c r="AW23" s="117">
        <f>AR23/AQ23</f>
        <v>0.5471103772386638</v>
      </c>
      <c r="AX23" s="117">
        <f>AS23/AR23-1</f>
        <v>0.6311463992199471</v>
      </c>
      <c r="AY23" s="117">
        <f>(AP16-AN16)/AN16</f>
        <v>0.27566693613581245</v>
      </c>
      <c r="AZ23" s="117">
        <f>AP16/AO16</f>
        <v>0.6256938937351308</v>
      </c>
      <c r="BA23" s="117">
        <f>(AQ16-AP16)/AP16</f>
        <v>0.43690747782002537</v>
      </c>
      <c r="BB23" s="117">
        <f>(AN16-AL16)/AL16</f>
        <v>0.08034934497816594</v>
      </c>
      <c r="BC23" s="117">
        <f>AN16/AM16</f>
        <v>1.0403700588730025</v>
      </c>
      <c r="BD23" s="117">
        <f>(AO16-AN16)/AN16</f>
        <v>1.0388035569927243</v>
      </c>
      <c r="BE23" s="117">
        <v>153.11</v>
      </c>
      <c r="BF23" s="117">
        <v>888.41</v>
      </c>
      <c r="BG23" s="117"/>
      <c r="BH23" s="117">
        <v>916.81</v>
      </c>
      <c r="BI23" s="117">
        <v>496.12</v>
      </c>
      <c r="BJ23" s="117">
        <v>187.66</v>
      </c>
      <c r="BK23" s="117">
        <f aca="true" t="shared" si="45" ref="BK23:BK27">BE23/AV23</f>
        <v>0.3431113302258874</v>
      </c>
      <c r="BL23" s="117">
        <v>153.58</v>
      </c>
      <c r="BM23" s="117">
        <v>188.72</v>
      </c>
      <c r="BN23" s="204">
        <f aca="true" t="shared" si="46" ref="BN23:BN25">BL23/BJ23</f>
        <v>0.8183949696259193</v>
      </c>
      <c r="BO23" s="264">
        <f>BM23/BL23-1</f>
        <v>0.22880583409298083</v>
      </c>
      <c r="BP23" s="266"/>
    </row>
    <row r="24" spans="1:68" s="88" customFormat="1" ht="33.75" customHeight="1">
      <c r="A24" s="128" t="s">
        <v>80</v>
      </c>
      <c r="B24" s="125"/>
      <c r="C24" s="125"/>
      <c r="D24" s="125"/>
      <c r="E24" s="125"/>
      <c r="F24" s="125"/>
      <c r="G24" s="125"/>
      <c r="H24" s="126"/>
      <c r="I24" s="126"/>
      <c r="J24" s="126"/>
      <c r="K24" s="126"/>
      <c r="L24" s="163"/>
      <c r="M24" s="117"/>
      <c r="N24" s="117"/>
      <c r="O24" s="163"/>
      <c r="P24" s="163"/>
      <c r="Q24" s="177"/>
      <c r="R24" s="177"/>
      <c r="S24" s="177"/>
      <c r="T24" s="177" t="e">
        <f t="shared" si="42"/>
        <v>#DIV/0!</v>
      </c>
      <c r="U24" s="177" t="e">
        <f t="shared" si="43"/>
        <v>#DIV/0!</v>
      </c>
      <c r="V24" s="177" t="e">
        <f t="shared" si="44"/>
        <v>#DIV/0!</v>
      </c>
      <c r="W24" s="178"/>
      <c r="X24" s="178"/>
      <c r="Y24" s="178"/>
      <c r="Z24" s="178"/>
      <c r="AA24" s="178"/>
      <c r="AB24" s="122">
        <v>6000</v>
      </c>
      <c r="AC24" s="193"/>
      <c r="AD24" s="164"/>
      <c r="AE24" s="122">
        <v>6983.88</v>
      </c>
      <c r="AF24" s="122">
        <f>4069.51+3080.11</f>
        <v>7149.620000000001</v>
      </c>
      <c r="AG24" s="204">
        <f>AE24/AB24</f>
        <v>1.16398</v>
      </c>
      <c r="AH24" s="204">
        <f>AF24/AE24-1</f>
        <v>0.023731793787980404</v>
      </c>
      <c r="AI24" s="222" t="s">
        <v>81</v>
      </c>
      <c r="AJ24" s="116"/>
      <c r="AK24" s="221"/>
      <c r="AL24" s="119">
        <v>0</v>
      </c>
      <c r="AM24" s="119">
        <v>0</v>
      </c>
      <c r="AN24" s="119">
        <v>0</v>
      </c>
      <c r="AO24" s="116">
        <v>2</v>
      </c>
      <c r="AP24" s="117">
        <v>307</v>
      </c>
      <c r="AQ24" s="117">
        <v>1061.31</v>
      </c>
      <c r="AR24" s="117">
        <v>341.5</v>
      </c>
      <c r="AS24" s="117">
        <v>1688.91</v>
      </c>
      <c r="AT24" s="163">
        <f>AR24/AP24-1</f>
        <v>0.1123778501628665</v>
      </c>
      <c r="AU24" s="117">
        <v>303.03</v>
      </c>
      <c r="AV24" s="117">
        <v>1323.16</v>
      </c>
      <c r="AW24" s="117">
        <f>AR24/AQ24</f>
        <v>0.3217721495133373</v>
      </c>
      <c r="AX24" s="117">
        <f>AS24/AR24-1</f>
        <v>3.9455636896046853</v>
      </c>
      <c r="AY24" s="117">
        <v>0</v>
      </c>
      <c r="AZ24" s="117" t="e">
        <f>0/AO22</f>
        <v>#DIV/0!</v>
      </c>
      <c r="BA24" s="117">
        <v>0</v>
      </c>
      <c r="BB24" s="117" t="e">
        <f>0/AQ22</f>
        <v>#DIV/0!</v>
      </c>
      <c r="BC24" s="117" t="e">
        <f>0/AY24</f>
        <v>#DIV/0!</v>
      </c>
      <c r="BD24" s="117" t="e">
        <f>0/AZ24</f>
        <v>#DIV/0!</v>
      </c>
      <c r="BE24" s="117">
        <v>423.28</v>
      </c>
      <c r="BF24" s="117">
        <v>434.09</v>
      </c>
      <c r="BG24" s="117"/>
      <c r="BH24" s="117">
        <v>416.03</v>
      </c>
      <c r="BI24" s="117">
        <v>365.66</v>
      </c>
      <c r="BJ24" s="117">
        <v>464.41</v>
      </c>
      <c r="BK24" s="117">
        <f t="shared" si="45"/>
        <v>0.31990084343541214</v>
      </c>
      <c r="BL24" s="117">
        <v>459.4</v>
      </c>
      <c r="BM24" s="117">
        <v>522.95</v>
      </c>
      <c r="BN24" s="204">
        <f t="shared" si="46"/>
        <v>0.9892121186020972</v>
      </c>
      <c r="BO24" s="264">
        <f>BM24/BL24-1</f>
        <v>0.1383326077492384</v>
      </c>
      <c r="BP24" s="266"/>
    </row>
    <row r="25" spans="1:78" s="88" customFormat="1" ht="33.75" customHeight="1">
      <c r="A25" s="127" t="s">
        <v>82</v>
      </c>
      <c r="B25" s="125"/>
      <c r="C25" s="125"/>
      <c r="D25" s="125"/>
      <c r="E25" s="125"/>
      <c r="F25" s="125"/>
      <c r="G25" s="125"/>
      <c r="H25" s="126"/>
      <c r="I25" s="126"/>
      <c r="J25" s="126"/>
      <c r="K25" s="126"/>
      <c r="L25" s="163"/>
      <c r="M25" s="117"/>
      <c r="N25" s="117"/>
      <c r="O25" s="163"/>
      <c r="P25" s="163"/>
      <c r="Q25" s="177"/>
      <c r="R25" s="177"/>
      <c r="S25" s="177"/>
      <c r="T25" s="177"/>
      <c r="U25" s="177"/>
      <c r="V25" s="177"/>
      <c r="W25" s="178"/>
      <c r="X25" s="178"/>
      <c r="Y25" s="178"/>
      <c r="Z25" s="178"/>
      <c r="AA25" s="178"/>
      <c r="AB25" s="122">
        <v>8025.88</v>
      </c>
      <c r="AC25" s="193"/>
      <c r="AD25" s="164"/>
      <c r="AE25" s="122">
        <v>8025.88</v>
      </c>
      <c r="AF25" s="122">
        <f>8828.13-3080.11</f>
        <v>5748.019999999999</v>
      </c>
      <c r="AG25" s="204">
        <f>AE25/AB25</f>
        <v>1</v>
      </c>
      <c r="AH25" s="204">
        <f>AF25/AE25-1</f>
        <v>-0.2838143605436415</v>
      </c>
      <c r="AI25" s="223" t="s">
        <v>83</v>
      </c>
      <c r="AJ25" s="116"/>
      <c r="AK25" s="221"/>
      <c r="AL25" s="119"/>
      <c r="AM25" s="119"/>
      <c r="AN25" s="119"/>
      <c r="AO25" s="116"/>
      <c r="AP25" s="117"/>
      <c r="AQ25" s="117"/>
      <c r="AR25" s="117"/>
      <c r="AS25" s="117"/>
      <c r="AT25" s="163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>
        <v>52</v>
      </c>
      <c r="BI25" s="117">
        <v>52</v>
      </c>
      <c r="BJ25" s="117">
        <v>302.57</v>
      </c>
      <c r="BK25" s="117"/>
      <c r="BL25" s="117">
        <v>302.55</v>
      </c>
      <c r="BM25" s="117">
        <v>52.53</v>
      </c>
      <c r="BN25" s="204">
        <f t="shared" si="46"/>
        <v>0.9999338995934826</v>
      </c>
      <c r="BO25" s="264">
        <f>BM25/BL25-1</f>
        <v>-0.8263758056519583</v>
      </c>
      <c r="BP25" s="266"/>
      <c r="BU25" s="278"/>
      <c r="BV25" s="278"/>
      <c r="BW25" s="278"/>
      <c r="BX25" s="278"/>
      <c r="BY25" s="278"/>
      <c r="BZ25" s="278"/>
    </row>
    <row r="26" spans="1:78" s="88" customFormat="1" ht="33.75" customHeight="1">
      <c r="A26" s="127"/>
      <c r="B26" s="125"/>
      <c r="C26" s="125"/>
      <c r="D26" s="125"/>
      <c r="E26" s="125"/>
      <c r="F26" s="125"/>
      <c r="G26" s="125"/>
      <c r="H26" s="126"/>
      <c r="I26" s="126"/>
      <c r="J26" s="126"/>
      <c r="K26" s="126"/>
      <c r="L26" s="163"/>
      <c r="M26" s="117"/>
      <c r="N26" s="117"/>
      <c r="O26" s="163"/>
      <c r="P26" s="163"/>
      <c r="Q26" s="177"/>
      <c r="R26" s="177"/>
      <c r="S26" s="177"/>
      <c r="T26" s="177"/>
      <c r="U26" s="177"/>
      <c r="V26" s="177"/>
      <c r="W26" s="178"/>
      <c r="X26" s="178"/>
      <c r="Y26" s="178"/>
      <c r="Z26" s="178"/>
      <c r="AA26" s="178"/>
      <c r="AB26" s="117"/>
      <c r="AC26" s="194"/>
      <c r="AD26" s="195"/>
      <c r="AE26" s="117"/>
      <c r="AF26" s="117"/>
      <c r="AG26" s="195"/>
      <c r="AH26" s="195"/>
      <c r="AI26" s="223" t="s">
        <v>84</v>
      </c>
      <c r="AJ26" s="116"/>
      <c r="AK26" s="221"/>
      <c r="AL26" s="119"/>
      <c r="AM26" s="119"/>
      <c r="AN26" s="119"/>
      <c r="AO26" s="116"/>
      <c r="AP26" s="117"/>
      <c r="AQ26" s="117"/>
      <c r="AR26" s="117"/>
      <c r="AS26" s="117"/>
      <c r="AT26" s="163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>
        <v>0</v>
      </c>
      <c r="BK26" s="117"/>
      <c r="BL26" s="117">
        <v>0</v>
      </c>
      <c r="BM26" s="117">
        <v>476.55</v>
      </c>
      <c r="BN26" s="200">
        <v>0</v>
      </c>
      <c r="BO26" s="267">
        <v>0</v>
      </c>
      <c r="BP26" s="266"/>
      <c r="BU26" s="278"/>
      <c r="BV26" s="278"/>
      <c r="BW26" s="278"/>
      <c r="BX26" s="278"/>
      <c r="BY26" s="278"/>
      <c r="BZ26" s="278"/>
    </row>
    <row r="27" spans="1:78" s="88" customFormat="1" ht="33.75" customHeight="1">
      <c r="A27" s="128"/>
      <c r="B27" s="125"/>
      <c r="C27" s="125"/>
      <c r="D27" s="125"/>
      <c r="E27" s="125"/>
      <c r="F27" s="125"/>
      <c r="G27" s="125"/>
      <c r="H27" s="126"/>
      <c r="I27" s="126"/>
      <c r="J27" s="126"/>
      <c r="K27" s="126"/>
      <c r="L27" s="163"/>
      <c r="M27" s="117"/>
      <c r="N27" s="117"/>
      <c r="O27" s="163"/>
      <c r="P27" s="163"/>
      <c r="Q27" s="177"/>
      <c r="R27" s="177"/>
      <c r="S27" s="177"/>
      <c r="T27" s="177"/>
      <c r="U27" s="177"/>
      <c r="V27" s="177"/>
      <c r="W27" s="178"/>
      <c r="X27" s="178"/>
      <c r="Y27" s="178"/>
      <c r="Z27" s="178"/>
      <c r="AA27" s="178"/>
      <c r="AB27" s="178"/>
      <c r="AC27" s="194"/>
      <c r="AD27" s="195"/>
      <c r="AE27" s="117"/>
      <c r="AF27" s="196"/>
      <c r="AG27" s="195"/>
      <c r="AH27" s="195"/>
      <c r="AI27" s="222" t="s">
        <v>85</v>
      </c>
      <c r="AJ27" s="125"/>
      <c r="AK27" s="125"/>
      <c r="AL27" s="119">
        <v>0</v>
      </c>
      <c r="AM27" s="116">
        <v>1170</v>
      </c>
      <c r="AN27" s="119">
        <v>0</v>
      </c>
      <c r="AO27" s="116">
        <v>1900</v>
      </c>
      <c r="AP27" s="117">
        <v>0</v>
      </c>
      <c r="AQ27" s="117">
        <v>1000</v>
      </c>
      <c r="AR27" s="117">
        <v>0</v>
      </c>
      <c r="AS27" s="117">
        <v>1000</v>
      </c>
      <c r="AT27" s="117">
        <v>0</v>
      </c>
      <c r="AU27" s="117">
        <v>22</v>
      </c>
      <c r="AV27" s="117">
        <v>760</v>
      </c>
      <c r="AW27" s="117">
        <v>0</v>
      </c>
      <c r="AX27" s="117">
        <v>0</v>
      </c>
      <c r="AY27" s="117" t="e">
        <f>(AP25-AN25)/AN25</f>
        <v>#DIV/0!</v>
      </c>
      <c r="AZ27" s="117" t="e">
        <f>AP25/AO25</f>
        <v>#DIV/0!</v>
      </c>
      <c r="BA27" s="117" t="e">
        <f>(AQ25-AP25)/AP25</f>
        <v>#DIV/0!</v>
      </c>
      <c r="BB27" s="117" t="e">
        <f>(AN25-AL25)/AL25</f>
        <v>#DIV/0!</v>
      </c>
      <c r="BC27" s="117" t="e">
        <f>AN25/AM25</f>
        <v>#DIV/0!</v>
      </c>
      <c r="BD27" s="117" t="e">
        <f>(AO25-AN25)/AN25</f>
        <v>#DIV/0!</v>
      </c>
      <c r="BE27" s="117">
        <v>0</v>
      </c>
      <c r="BF27" s="117">
        <v>1200</v>
      </c>
      <c r="BG27" s="117"/>
      <c r="BH27" s="117">
        <v>0</v>
      </c>
      <c r="BI27" s="117">
        <v>0</v>
      </c>
      <c r="BJ27" s="117">
        <v>0</v>
      </c>
      <c r="BK27" s="117">
        <f t="shared" si="45"/>
        <v>0</v>
      </c>
      <c r="BL27" s="117">
        <v>0</v>
      </c>
      <c r="BM27" s="117">
        <v>1000</v>
      </c>
      <c r="BN27" s="200">
        <v>0</v>
      </c>
      <c r="BO27" s="267">
        <v>0</v>
      </c>
      <c r="BP27" s="266"/>
      <c r="BU27" s="278"/>
      <c r="BV27" s="278"/>
      <c r="BW27" s="278"/>
      <c r="BX27" s="278"/>
      <c r="BY27" s="278"/>
      <c r="BZ27" s="278"/>
    </row>
    <row r="28" spans="1:78" s="88" customFormat="1" ht="33.75" customHeight="1">
      <c r="A28" s="127"/>
      <c r="B28" s="125"/>
      <c r="C28" s="125"/>
      <c r="D28" s="125"/>
      <c r="E28" s="125"/>
      <c r="F28" s="125"/>
      <c r="G28" s="125"/>
      <c r="H28" s="126"/>
      <c r="I28" s="126"/>
      <c r="J28" s="126"/>
      <c r="K28" s="126"/>
      <c r="L28" s="163"/>
      <c r="M28" s="117"/>
      <c r="N28" s="117"/>
      <c r="O28" s="163"/>
      <c r="P28" s="163"/>
      <c r="Q28" s="177"/>
      <c r="R28" s="177"/>
      <c r="S28" s="177"/>
      <c r="T28" s="177"/>
      <c r="U28" s="177"/>
      <c r="V28" s="177"/>
      <c r="W28" s="178"/>
      <c r="X28" s="178"/>
      <c r="Y28" s="178"/>
      <c r="Z28" s="178"/>
      <c r="AA28" s="178"/>
      <c r="AB28" s="178"/>
      <c r="AC28" s="194"/>
      <c r="AD28" s="195"/>
      <c r="AE28" s="117"/>
      <c r="AF28" s="196"/>
      <c r="AG28" s="195"/>
      <c r="AH28" s="195"/>
      <c r="AI28" s="223" t="s">
        <v>86</v>
      </c>
      <c r="AJ28" s="116"/>
      <c r="AK28" s="221"/>
      <c r="AL28" s="116"/>
      <c r="AM28" s="116"/>
      <c r="AN28" s="116"/>
      <c r="AO28" s="116"/>
      <c r="AP28" s="117"/>
      <c r="AQ28" s="117"/>
      <c r="AR28" s="117"/>
      <c r="AS28" s="117"/>
      <c r="AT28" s="163"/>
      <c r="AU28" s="117"/>
      <c r="AV28" s="117">
        <v>0</v>
      </c>
      <c r="AW28" s="117"/>
      <c r="AX28" s="117"/>
      <c r="AY28" s="117"/>
      <c r="AZ28" s="117"/>
      <c r="BA28" s="117"/>
      <c r="BB28" s="117"/>
      <c r="BC28" s="117"/>
      <c r="BD28" s="117"/>
      <c r="BE28" s="117">
        <v>2.08</v>
      </c>
      <c r="BF28" s="117">
        <v>15</v>
      </c>
      <c r="BG28" s="117"/>
      <c r="BH28" s="117">
        <v>13.62</v>
      </c>
      <c r="BI28" s="117">
        <v>13.62</v>
      </c>
      <c r="BJ28" s="117">
        <v>0</v>
      </c>
      <c r="BK28" s="117"/>
      <c r="BL28" s="117">
        <v>0</v>
      </c>
      <c r="BM28" s="117">
        <v>0</v>
      </c>
      <c r="BN28" s="200">
        <v>0</v>
      </c>
      <c r="BO28" s="267">
        <v>0</v>
      </c>
      <c r="BP28" s="266"/>
      <c r="BU28" s="278"/>
      <c r="BV28" s="278"/>
      <c r="BW28" s="278"/>
      <c r="BX28" s="278"/>
      <c r="BY28" s="278"/>
      <c r="BZ28" s="278"/>
    </row>
    <row r="29" spans="1:78" s="88" customFormat="1" ht="33.75" customHeight="1">
      <c r="A29" s="127"/>
      <c r="B29" s="125"/>
      <c r="C29" s="125"/>
      <c r="D29" s="125"/>
      <c r="E29" s="125"/>
      <c r="F29" s="125"/>
      <c r="G29" s="125"/>
      <c r="H29" s="126"/>
      <c r="I29" s="126"/>
      <c r="J29" s="126"/>
      <c r="K29" s="126"/>
      <c r="L29" s="163"/>
      <c r="M29" s="117"/>
      <c r="N29" s="117"/>
      <c r="O29" s="163"/>
      <c r="P29" s="163"/>
      <c r="Q29" s="177"/>
      <c r="R29" s="177"/>
      <c r="S29" s="177"/>
      <c r="T29" s="177"/>
      <c r="U29" s="177"/>
      <c r="V29" s="177"/>
      <c r="W29" s="178"/>
      <c r="X29" s="178"/>
      <c r="Y29" s="178"/>
      <c r="Z29" s="178"/>
      <c r="AA29" s="178"/>
      <c r="AB29" s="178"/>
      <c r="AC29" s="194"/>
      <c r="AD29" s="195"/>
      <c r="AE29" s="117"/>
      <c r="AF29" s="196"/>
      <c r="AG29" s="195"/>
      <c r="AH29" s="195"/>
      <c r="AI29" s="223" t="s">
        <v>87</v>
      </c>
      <c r="AJ29" s="116"/>
      <c r="AK29" s="221"/>
      <c r="AL29" s="116"/>
      <c r="AM29" s="116"/>
      <c r="AN29" s="116"/>
      <c r="AO29" s="116"/>
      <c r="AP29" s="117"/>
      <c r="AQ29" s="117"/>
      <c r="AR29" s="117"/>
      <c r="AS29" s="117"/>
      <c r="AT29" s="163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>
        <v>0</v>
      </c>
      <c r="BK29" s="117"/>
      <c r="BL29" s="117">
        <v>0</v>
      </c>
      <c r="BM29" s="117">
        <v>41.5</v>
      </c>
      <c r="BN29" s="200">
        <v>0</v>
      </c>
      <c r="BO29" s="267">
        <v>0</v>
      </c>
      <c r="BP29" s="266"/>
      <c r="BU29" s="278"/>
      <c r="BV29" s="278"/>
      <c r="BW29" s="278"/>
      <c r="BX29" s="278"/>
      <c r="BY29" s="278"/>
      <c r="BZ29" s="278"/>
    </row>
    <row r="30" spans="1:78" s="88" customFormat="1" ht="33.75" customHeight="1">
      <c r="A30" s="128"/>
      <c r="B30" s="125"/>
      <c r="C30" s="125"/>
      <c r="D30" s="125"/>
      <c r="E30" s="125"/>
      <c r="F30" s="125"/>
      <c r="G30" s="125"/>
      <c r="H30" s="126"/>
      <c r="I30" s="126"/>
      <c r="J30" s="126"/>
      <c r="K30" s="126"/>
      <c r="L30" s="163"/>
      <c r="M30" s="117"/>
      <c r="N30" s="117"/>
      <c r="O30" s="163"/>
      <c r="P30" s="163"/>
      <c r="Q30" s="177"/>
      <c r="R30" s="177"/>
      <c r="S30" s="177"/>
      <c r="T30" s="177"/>
      <c r="U30" s="177"/>
      <c r="V30" s="177"/>
      <c r="W30" s="178"/>
      <c r="X30" s="178"/>
      <c r="Y30" s="178"/>
      <c r="Z30" s="178"/>
      <c r="AA30" s="178"/>
      <c r="AB30" s="178"/>
      <c r="AC30" s="194"/>
      <c r="AD30" s="195"/>
      <c r="AE30" s="117"/>
      <c r="AF30" s="196"/>
      <c r="AG30" s="195"/>
      <c r="AH30" s="195"/>
      <c r="AI30" s="222" t="s">
        <v>88</v>
      </c>
      <c r="AJ30" s="116"/>
      <c r="AK30" s="221"/>
      <c r="AL30" s="119"/>
      <c r="AM30" s="119"/>
      <c r="AN30" s="116"/>
      <c r="AO30" s="116"/>
      <c r="AP30" s="117"/>
      <c r="AQ30" s="117"/>
      <c r="AR30" s="117"/>
      <c r="AS30" s="117"/>
      <c r="AT30" s="163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>
        <v>13.62</v>
      </c>
      <c r="BK30" s="117">
        <v>1</v>
      </c>
      <c r="BL30" s="117">
        <v>13.62</v>
      </c>
      <c r="BM30" s="117">
        <v>13.7</v>
      </c>
      <c r="BN30" s="204">
        <f aca="true" t="shared" si="47" ref="BN30:BN36">BL30/BJ30</f>
        <v>1</v>
      </c>
      <c r="BO30" s="264">
        <f aca="true" t="shared" si="48" ref="BO30:BO36">BM30/BL30-1</f>
        <v>0.005873715124816492</v>
      </c>
      <c r="BP30" s="266"/>
      <c r="BU30" s="279"/>
      <c r="BV30" s="279"/>
      <c r="BW30" s="279"/>
      <c r="BX30" s="279"/>
      <c r="BY30" s="279"/>
      <c r="BZ30" s="279"/>
    </row>
    <row r="31" spans="1:78" s="88" customFormat="1" ht="33.75" customHeight="1">
      <c r="A31" s="127"/>
      <c r="B31" s="125"/>
      <c r="C31" s="125"/>
      <c r="D31" s="125"/>
      <c r="E31" s="125"/>
      <c r="F31" s="125"/>
      <c r="G31" s="125"/>
      <c r="H31" s="126"/>
      <c r="I31" s="126"/>
      <c r="J31" s="126"/>
      <c r="K31" s="126"/>
      <c r="L31" s="163"/>
      <c r="M31" s="117"/>
      <c r="N31" s="117"/>
      <c r="O31" s="163"/>
      <c r="P31" s="163"/>
      <c r="Q31" s="177"/>
      <c r="R31" s="177"/>
      <c r="S31" s="177"/>
      <c r="T31" s="177"/>
      <c r="U31" s="177"/>
      <c r="V31" s="177"/>
      <c r="W31" s="178"/>
      <c r="X31" s="178"/>
      <c r="Y31" s="178"/>
      <c r="Z31" s="178"/>
      <c r="AA31" s="178"/>
      <c r="AB31" s="178"/>
      <c r="AC31" s="194"/>
      <c r="AD31" s="195"/>
      <c r="AE31" s="117"/>
      <c r="AF31" s="196"/>
      <c r="AG31" s="195"/>
      <c r="AH31" s="195"/>
      <c r="AI31" s="222" t="s">
        <v>89</v>
      </c>
      <c r="AJ31" s="116"/>
      <c r="AK31" s="221"/>
      <c r="AL31" s="119"/>
      <c r="AM31" s="119"/>
      <c r="AN31" s="119"/>
      <c r="AO31" s="116"/>
      <c r="AP31" s="117"/>
      <c r="AQ31" s="117"/>
      <c r="AR31" s="117"/>
      <c r="AS31" s="117"/>
      <c r="AT31" s="163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>
        <v>0</v>
      </c>
      <c r="BK31" s="117"/>
      <c r="BL31" s="117">
        <v>0</v>
      </c>
      <c r="BM31" s="117">
        <v>0</v>
      </c>
      <c r="BN31" s="200">
        <v>0</v>
      </c>
      <c r="BO31" s="267">
        <v>0</v>
      </c>
      <c r="BP31" s="266"/>
      <c r="BU31" s="279"/>
      <c r="BV31" s="279"/>
      <c r="BW31" s="279"/>
      <c r="BX31" s="279"/>
      <c r="BY31" s="279"/>
      <c r="BZ31" s="279"/>
    </row>
    <row r="32" spans="1:78" s="88" customFormat="1" ht="33.75" customHeight="1">
      <c r="A32" s="124"/>
      <c r="B32" s="125"/>
      <c r="C32" s="125"/>
      <c r="D32" s="125"/>
      <c r="E32" s="125"/>
      <c r="F32" s="125"/>
      <c r="G32" s="125"/>
      <c r="H32" s="126"/>
      <c r="I32" s="126"/>
      <c r="J32" s="126"/>
      <c r="K32" s="126"/>
      <c r="L32" s="163"/>
      <c r="M32" s="117"/>
      <c r="N32" s="117"/>
      <c r="O32" s="163"/>
      <c r="P32" s="163"/>
      <c r="Q32" s="177"/>
      <c r="R32" s="177"/>
      <c r="S32" s="177"/>
      <c r="T32" s="177"/>
      <c r="U32" s="177"/>
      <c r="V32" s="177"/>
      <c r="W32" s="178"/>
      <c r="X32" s="178"/>
      <c r="Y32" s="178"/>
      <c r="Z32" s="178"/>
      <c r="AA32" s="178"/>
      <c r="AB32" s="178"/>
      <c r="AC32" s="194"/>
      <c r="AD32" s="195"/>
      <c r="AE32" s="117"/>
      <c r="AF32" s="196"/>
      <c r="AG32" s="195"/>
      <c r="AH32" s="195"/>
      <c r="AI32" s="224" t="s">
        <v>90</v>
      </c>
      <c r="AJ32" s="116"/>
      <c r="AK32" s="221"/>
      <c r="AL32" s="119"/>
      <c r="AM32" s="119"/>
      <c r="AN32" s="119"/>
      <c r="AO32" s="116"/>
      <c r="AP32" s="117"/>
      <c r="AQ32" s="117"/>
      <c r="AR32" s="117"/>
      <c r="AS32" s="117"/>
      <c r="AT32" s="163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22">
        <v>3450</v>
      </c>
      <c r="BK32" s="122"/>
      <c r="BL32" s="122">
        <v>3000</v>
      </c>
      <c r="BM32" s="122">
        <v>6000</v>
      </c>
      <c r="BN32" s="204">
        <f t="shared" si="47"/>
        <v>0.8695652173913043</v>
      </c>
      <c r="BO32" s="264">
        <f t="shared" si="48"/>
        <v>1</v>
      </c>
      <c r="BP32" s="266"/>
      <c r="BU32" s="279"/>
      <c r="BV32" s="279"/>
      <c r="BW32" s="279"/>
      <c r="BX32" s="279"/>
      <c r="BY32" s="279"/>
      <c r="BZ32" s="279"/>
    </row>
    <row r="33" spans="1:78" s="88" customFormat="1" ht="33.75" customHeight="1">
      <c r="A33" s="124"/>
      <c r="B33" s="125"/>
      <c r="C33" s="125"/>
      <c r="D33" s="125"/>
      <c r="E33" s="125"/>
      <c r="F33" s="125"/>
      <c r="G33" s="125"/>
      <c r="H33" s="126"/>
      <c r="I33" s="126"/>
      <c r="J33" s="126"/>
      <c r="K33" s="126"/>
      <c r="L33" s="163"/>
      <c r="M33" s="117"/>
      <c r="N33" s="117"/>
      <c r="O33" s="163"/>
      <c r="P33" s="163"/>
      <c r="Q33" s="177"/>
      <c r="R33" s="177"/>
      <c r="S33" s="177"/>
      <c r="T33" s="177"/>
      <c r="U33" s="177"/>
      <c r="V33" s="177"/>
      <c r="W33" s="178"/>
      <c r="X33" s="178"/>
      <c r="Y33" s="178"/>
      <c r="Z33" s="178"/>
      <c r="AA33" s="178"/>
      <c r="AB33" s="178"/>
      <c r="AC33" s="194"/>
      <c r="AD33" s="195"/>
      <c r="AE33" s="117"/>
      <c r="AF33" s="196"/>
      <c r="AG33" s="195"/>
      <c r="AH33" s="195"/>
      <c r="AI33" s="224" t="s">
        <v>91</v>
      </c>
      <c r="AJ33" s="116"/>
      <c r="AK33" s="221"/>
      <c r="AL33" s="116"/>
      <c r="AM33" s="116"/>
      <c r="AN33" s="116"/>
      <c r="AO33" s="116"/>
      <c r="AP33" s="117"/>
      <c r="AQ33" s="117"/>
      <c r="AR33" s="117"/>
      <c r="AS33" s="117"/>
      <c r="AT33" s="163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>
        <v>0</v>
      </c>
      <c r="BK33" s="163"/>
      <c r="BL33" s="117">
        <v>0</v>
      </c>
      <c r="BM33" s="117">
        <v>0</v>
      </c>
      <c r="BN33" s="200">
        <v>0</v>
      </c>
      <c r="BO33" s="267">
        <v>0</v>
      </c>
      <c r="BP33" s="266"/>
      <c r="BU33" s="279"/>
      <c r="BV33" s="279"/>
      <c r="BW33" s="279"/>
      <c r="BX33" s="279"/>
      <c r="BY33" s="279"/>
      <c r="BZ33" s="279"/>
    </row>
    <row r="34" spans="1:78" s="88" customFormat="1" ht="33.75" customHeight="1">
      <c r="A34" s="124"/>
      <c r="B34" s="125"/>
      <c r="C34" s="125"/>
      <c r="D34" s="125"/>
      <c r="E34" s="125"/>
      <c r="F34" s="125"/>
      <c r="G34" s="125"/>
      <c r="H34" s="126"/>
      <c r="I34" s="126"/>
      <c r="J34" s="126"/>
      <c r="K34" s="126"/>
      <c r="L34" s="163"/>
      <c r="M34" s="117"/>
      <c r="N34" s="117"/>
      <c r="O34" s="163"/>
      <c r="P34" s="163"/>
      <c r="Q34" s="177"/>
      <c r="R34" s="177"/>
      <c r="S34" s="177"/>
      <c r="T34" s="177"/>
      <c r="U34" s="177"/>
      <c r="V34" s="177"/>
      <c r="W34" s="178"/>
      <c r="X34" s="178"/>
      <c r="Y34" s="178"/>
      <c r="Z34" s="178"/>
      <c r="AA34" s="178"/>
      <c r="AB34" s="178"/>
      <c r="AC34" s="194"/>
      <c r="AD34" s="195"/>
      <c r="AE34" s="117"/>
      <c r="AF34" s="196"/>
      <c r="AG34" s="195"/>
      <c r="AH34" s="195"/>
      <c r="AI34" s="224" t="s">
        <v>92</v>
      </c>
      <c r="AJ34" s="116"/>
      <c r="AK34" s="221"/>
      <c r="AL34" s="116"/>
      <c r="AM34" s="116"/>
      <c r="AN34" s="116"/>
      <c r="AO34" s="116"/>
      <c r="AP34" s="117"/>
      <c r="AQ34" s="117"/>
      <c r="AR34" s="117"/>
      <c r="AS34" s="117"/>
      <c r="AT34" s="163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22">
        <v>3500</v>
      </c>
      <c r="BK34" s="164"/>
      <c r="BL34" s="122">
        <v>1843.7</v>
      </c>
      <c r="BM34" s="117">
        <v>0</v>
      </c>
      <c r="BN34" s="204">
        <f t="shared" si="47"/>
        <v>0.5267714285714286</v>
      </c>
      <c r="BO34" s="264">
        <f t="shared" si="48"/>
        <v>-1</v>
      </c>
      <c r="BP34" s="266"/>
      <c r="BU34" s="279"/>
      <c r="BV34" s="279"/>
      <c r="BW34" s="279"/>
      <c r="BX34" s="279"/>
      <c r="BY34" s="279"/>
      <c r="BZ34" s="279"/>
    </row>
    <row r="35" spans="1:68" s="88" customFormat="1" ht="33.75" customHeight="1">
      <c r="A35" s="124"/>
      <c r="B35" s="125"/>
      <c r="C35" s="125"/>
      <c r="D35" s="125"/>
      <c r="E35" s="125"/>
      <c r="F35" s="125"/>
      <c r="G35" s="125"/>
      <c r="H35" s="126"/>
      <c r="I35" s="126"/>
      <c r="J35" s="126"/>
      <c r="K35" s="126"/>
      <c r="L35" s="163"/>
      <c r="M35" s="117"/>
      <c r="N35" s="117"/>
      <c r="O35" s="163"/>
      <c r="P35" s="163"/>
      <c r="Q35" s="177"/>
      <c r="R35" s="177"/>
      <c r="S35" s="177"/>
      <c r="T35" s="177"/>
      <c r="U35" s="177"/>
      <c r="V35" s="177"/>
      <c r="W35" s="178"/>
      <c r="X35" s="178"/>
      <c r="Y35" s="178"/>
      <c r="Z35" s="178"/>
      <c r="AA35" s="178"/>
      <c r="AB35" s="178"/>
      <c r="AC35" s="194"/>
      <c r="AD35" s="195"/>
      <c r="AE35" s="117"/>
      <c r="AF35" s="196"/>
      <c r="AG35" s="195"/>
      <c r="AH35" s="195"/>
      <c r="AI35" s="225" t="s">
        <v>93</v>
      </c>
      <c r="AJ35" s="116"/>
      <c r="AK35" s="221"/>
      <c r="AL35" s="119"/>
      <c r="AM35" s="119"/>
      <c r="AN35" s="119"/>
      <c r="AO35" s="116"/>
      <c r="AP35" s="117"/>
      <c r="AQ35" s="117"/>
      <c r="AR35" s="117"/>
      <c r="AS35" s="117"/>
      <c r="AT35" s="163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22">
        <v>1093.67</v>
      </c>
      <c r="BK35" s="164"/>
      <c r="BL35" s="122">
        <v>8828.13</v>
      </c>
      <c r="BM35" s="122">
        <v>113.08</v>
      </c>
      <c r="BN35" s="204">
        <f t="shared" si="47"/>
        <v>8.072023553722785</v>
      </c>
      <c r="BO35" s="264">
        <f t="shared" si="48"/>
        <v>-0.9871909453077832</v>
      </c>
      <c r="BP35" s="266"/>
    </row>
    <row r="36" spans="1:68" s="90" customFormat="1" ht="33.75" customHeight="1">
      <c r="A36" s="129" t="s">
        <v>94</v>
      </c>
      <c r="B36" s="130"/>
      <c r="C36" s="130"/>
      <c r="D36" s="130"/>
      <c r="E36" s="130"/>
      <c r="F36" s="130"/>
      <c r="G36" s="130"/>
      <c r="H36" s="131"/>
      <c r="I36" s="131"/>
      <c r="J36" s="131"/>
      <c r="K36" s="131"/>
      <c r="L36" s="165"/>
      <c r="M36" s="131"/>
      <c r="N36" s="131"/>
      <c r="O36" s="165"/>
      <c r="P36" s="165"/>
      <c r="Q36" s="179"/>
      <c r="R36" s="179"/>
      <c r="S36" s="179"/>
      <c r="T36" s="179"/>
      <c r="U36" s="179"/>
      <c r="V36" s="179"/>
      <c r="W36" s="180"/>
      <c r="X36" s="180"/>
      <c r="Y36" s="180"/>
      <c r="Z36" s="180"/>
      <c r="AA36" s="180"/>
      <c r="AB36" s="197">
        <f aca="true" t="shared" si="49" ref="AB36:AF36">AB5+AB15+AB22+AB23+AB24+AB25</f>
        <v>44357.74999999999</v>
      </c>
      <c r="AC36" s="197"/>
      <c r="AD36" s="197"/>
      <c r="AE36" s="197">
        <f t="shared" si="49"/>
        <v>47547.67</v>
      </c>
      <c r="AF36" s="197">
        <f t="shared" si="49"/>
        <v>45818.369999999995</v>
      </c>
      <c r="AG36" s="204">
        <f aca="true" t="shared" si="50" ref="AG36:AG41">AE36/AB36</f>
        <v>1.0719134762245606</v>
      </c>
      <c r="AH36" s="204">
        <f>AF36/AE36-1</f>
        <v>-0.03636981580800913</v>
      </c>
      <c r="AI36" s="226" t="s">
        <v>95</v>
      </c>
      <c r="AJ36" s="150"/>
      <c r="AK36" s="227"/>
      <c r="AL36" s="151"/>
      <c r="AM36" s="151"/>
      <c r="AN36" s="151"/>
      <c r="AO36" s="150"/>
      <c r="AP36" s="131"/>
      <c r="AQ36" s="131"/>
      <c r="AR36" s="131"/>
      <c r="AS36" s="131"/>
      <c r="AT36" s="165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42">
        <f aca="true" t="shared" si="51" ref="BJ36:BM36">BJ5+BJ32+BJ33+BJ34+BJ35</f>
        <v>44357.75000000001</v>
      </c>
      <c r="BK36" s="166"/>
      <c r="BL36" s="142">
        <f t="shared" si="51"/>
        <v>47547.670000000006</v>
      </c>
      <c r="BM36" s="142">
        <f t="shared" si="51"/>
        <v>45818.369999999995</v>
      </c>
      <c r="BN36" s="204">
        <f t="shared" si="47"/>
        <v>1.0719134762245606</v>
      </c>
      <c r="BO36" s="264">
        <f t="shared" si="48"/>
        <v>-0.036369815808009354</v>
      </c>
      <c r="BP36" s="266"/>
    </row>
    <row r="37" spans="1:68" s="88" customFormat="1" ht="21" customHeight="1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98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268"/>
      <c r="BP37" s="266"/>
    </row>
    <row r="38" spans="1:68" s="88" customFormat="1" ht="33.75" customHeight="1">
      <c r="A38" s="134" t="s">
        <v>96</v>
      </c>
      <c r="B38" s="135" t="e">
        <f>B39+B45+#REF!+#REF!</f>
        <v>#REF!</v>
      </c>
      <c r="C38" s="135" t="e">
        <f>C39+C45+#REF!+#REF!</f>
        <v>#REF!</v>
      </c>
      <c r="D38" s="135">
        <f aca="true" t="shared" si="52" ref="D38:J38">D39+D45</f>
        <v>7949</v>
      </c>
      <c r="E38" s="135">
        <f t="shared" si="52"/>
        <v>34143</v>
      </c>
      <c r="F38" s="135">
        <f t="shared" si="52"/>
        <v>32804</v>
      </c>
      <c r="G38" s="135">
        <f t="shared" si="52"/>
        <v>20299</v>
      </c>
      <c r="H38" s="113">
        <f t="shared" si="52"/>
        <v>2504</v>
      </c>
      <c r="I38" s="113">
        <f t="shared" si="52"/>
        <v>10532.1572</v>
      </c>
      <c r="J38" s="113">
        <f t="shared" si="52"/>
        <v>2928.12</v>
      </c>
      <c r="K38" s="113">
        <v>8380</v>
      </c>
      <c r="L38" s="162">
        <f>J38/H38-1</f>
        <v>0.16937699680511176</v>
      </c>
      <c r="M38" s="113">
        <v>2476.42</v>
      </c>
      <c r="N38" s="113">
        <v>5143</v>
      </c>
      <c r="O38" s="162">
        <f>J38/I38</f>
        <v>0.2780171188481691</v>
      </c>
      <c r="P38" s="162">
        <f>K38/J38-1</f>
        <v>1.8619045667527288</v>
      </c>
      <c r="Q38" s="176">
        <f>(H38-F38)/F38</f>
        <v>-0.9236678453847091</v>
      </c>
      <c r="R38" s="176">
        <f>H38/G38</f>
        <v>0.12335583033646978</v>
      </c>
      <c r="S38" s="176">
        <f>(I38-H38)/H38</f>
        <v>3.206133067092652</v>
      </c>
      <c r="T38" s="176"/>
      <c r="U38" s="176"/>
      <c r="V38" s="176"/>
      <c r="W38" s="113">
        <f aca="true" t="shared" si="53" ref="W38:AB38">W39+W45</f>
        <v>1865.78</v>
      </c>
      <c r="X38" s="113">
        <f t="shared" si="53"/>
        <v>8260</v>
      </c>
      <c r="Y38" s="113">
        <f>X38-W38</f>
        <v>6394.22</v>
      </c>
      <c r="Z38" s="113">
        <v>8012.21</v>
      </c>
      <c r="AA38" s="113">
        <v>8227.88</v>
      </c>
      <c r="AB38" s="113">
        <f t="shared" si="53"/>
        <v>11200</v>
      </c>
      <c r="AC38" s="199">
        <f>W38/N38</f>
        <v>0.3627804783200467</v>
      </c>
      <c r="AD38" s="199">
        <f>X38/W38-1</f>
        <v>3.4271028738650857</v>
      </c>
      <c r="AE38" s="113">
        <f>AE39</f>
        <v>11129.929999999998</v>
      </c>
      <c r="AF38" s="113">
        <f>AF39</f>
        <v>9100.11</v>
      </c>
      <c r="AG38" s="204">
        <f t="shared" si="50"/>
        <v>0.9937437499999998</v>
      </c>
      <c r="AH38" s="204">
        <f>AF38/AE38-1</f>
        <v>-0.1823749116122022</v>
      </c>
      <c r="AI38" s="228" t="s">
        <v>97</v>
      </c>
      <c r="AJ38" s="146" t="e">
        <f>#REF!-#REF!</f>
        <v>#REF!</v>
      </c>
      <c r="AK38" s="181" t="e">
        <f>#REF!-#REF!</f>
        <v>#REF!</v>
      </c>
      <c r="AL38" s="146">
        <f>SUM(AL39:AL45)</f>
        <v>18070</v>
      </c>
      <c r="AM38" s="146">
        <f aca="true" t="shared" si="54" ref="AM38:AO38">SUM(AM39:AM46)</f>
        <v>27124</v>
      </c>
      <c r="AN38" s="146">
        <f t="shared" si="54"/>
        <v>7313</v>
      </c>
      <c r="AO38" s="146">
        <f t="shared" si="54"/>
        <v>30876</v>
      </c>
      <c r="AP38" s="113" t="e">
        <f>#REF!+#REF!+AP39+#REF!+AP45+AP46+#REF!+#REF!</f>
        <v>#REF!</v>
      </c>
      <c r="AQ38" s="113" t="e">
        <f>#REF!+#REF!+AQ39+#REF!+AQ45+AQ46+#REF!+#REF!</f>
        <v>#REF!</v>
      </c>
      <c r="AR38" s="113" t="e">
        <f>#REF!+#REF!+AR39+#REF!+AR45+AR46+#REF!+#REF!</f>
        <v>#REF!</v>
      </c>
      <c r="AS38" s="113">
        <v>10063.39</v>
      </c>
      <c r="AT38" s="162" t="e">
        <f aca="true" t="shared" si="55" ref="AT38:AT41">AR38/AP38-1</f>
        <v>#REF!</v>
      </c>
      <c r="AU38" s="113">
        <v>3110.25</v>
      </c>
      <c r="AV38" s="113">
        <v>6104.56</v>
      </c>
      <c r="AW38" s="162" t="e">
        <f aca="true" t="shared" si="56" ref="AW38:AW41">AR38/AQ38</f>
        <v>#REF!</v>
      </c>
      <c r="AX38" s="162" t="e">
        <f aca="true" t="shared" si="57" ref="AX38:AX41">AS38/AR38-1</f>
        <v>#REF!</v>
      </c>
      <c r="AY38" s="147">
        <v>0</v>
      </c>
      <c r="AZ38" s="147">
        <v>0</v>
      </c>
      <c r="BA38" s="147">
        <v>0</v>
      </c>
      <c r="BB38" s="176" t="e">
        <f>(#REF!-#REF!)/#REF!</f>
        <v>#REF!</v>
      </c>
      <c r="BC38" s="147">
        <v>0</v>
      </c>
      <c r="BD38" s="147">
        <v>0</v>
      </c>
      <c r="BE38" s="147">
        <f>SUM(BE39:BE47)</f>
        <v>4461.370000000001</v>
      </c>
      <c r="BF38" s="147">
        <f>SUM(BF39:BF47)+0.01</f>
        <v>12390.45</v>
      </c>
      <c r="BG38" s="147">
        <f>BF38-BE38</f>
        <v>7929.08</v>
      </c>
      <c r="BH38" s="147">
        <v>7545.27</v>
      </c>
      <c r="BI38" s="147">
        <v>6065.74</v>
      </c>
      <c r="BJ38" s="258">
        <f aca="true" t="shared" si="58" ref="BJ38:BM38">SUM(BJ39:BJ43)</f>
        <v>5006.93</v>
      </c>
      <c r="BK38" s="162">
        <f aca="true" t="shared" si="59" ref="BK38:BK41">BE38/AV38</f>
        <v>0.7308258089035082</v>
      </c>
      <c r="BL38" s="258">
        <f t="shared" si="58"/>
        <v>3352.1099999999997</v>
      </c>
      <c r="BM38" s="258">
        <f t="shared" si="58"/>
        <v>5305.290000000001</v>
      </c>
      <c r="BN38" s="204">
        <f aca="true" t="shared" si="60" ref="BN38:BN42">BL38/BJ38</f>
        <v>0.6694940812034519</v>
      </c>
      <c r="BO38" s="264">
        <f>BM38/BL38-1</f>
        <v>0.5826718096959829</v>
      </c>
      <c r="BP38" s="266"/>
    </row>
    <row r="39" spans="1:68" s="88" customFormat="1" ht="33.75" customHeight="1">
      <c r="A39" s="118" t="s">
        <v>98</v>
      </c>
      <c r="B39" s="115"/>
      <c r="C39" s="115"/>
      <c r="D39" s="116">
        <v>7949</v>
      </c>
      <c r="E39" s="116">
        <v>34143</v>
      </c>
      <c r="F39" s="116">
        <v>32804</v>
      </c>
      <c r="G39" s="116">
        <v>20299</v>
      </c>
      <c r="H39" s="117">
        <v>2504</v>
      </c>
      <c r="I39" s="117">
        <f>105051572/10000+27</f>
        <v>10532.1572</v>
      </c>
      <c r="J39" s="117">
        <v>2928.12</v>
      </c>
      <c r="K39" s="117">
        <v>8280</v>
      </c>
      <c r="L39" s="163">
        <f>J39/H39-1</f>
        <v>0.16937699680511176</v>
      </c>
      <c r="M39" s="117">
        <v>608.32</v>
      </c>
      <c r="N39" s="117">
        <v>5143</v>
      </c>
      <c r="O39" s="163">
        <f>J39/I39</f>
        <v>0.2780171188481691</v>
      </c>
      <c r="P39" s="163">
        <f>K39/J39-1</f>
        <v>1.8277529609442236</v>
      </c>
      <c r="Q39" s="177">
        <f>(H39-F39)/F39</f>
        <v>-0.9236678453847091</v>
      </c>
      <c r="R39" s="177">
        <f>H39/G39</f>
        <v>0.12335583033646978</v>
      </c>
      <c r="S39" s="177">
        <f>(I39-H39)/H39</f>
        <v>3.206133067092652</v>
      </c>
      <c r="T39" s="177">
        <f>(F38-D38)/D38</f>
        <v>3.1268084035727766</v>
      </c>
      <c r="U39" s="177">
        <f>F38/E38</f>
        <v>0.9607825908678206</v>
      </c>
      <c r="V39" s="177">
        <f>(G38-F38)/F38</f>
        <v>-0.3812035117668577</v>
      </c>
      <c r="W39" s="117">
        <v>1865.78</v>
      </c>
      <c r="X39" s="117">
        <v>8260</v>
      </c>
      <c r="Y39" s="117"/>
      <c r="Z39" s="117">
        <v>7746.49</v>
      </c>
      <c r="AA39" s="117">
        <v>7962.16</v>
      </c>
      <c r="AB39" s="117">
        <f aca="true" t="shared" si="61" ref="AB39:AF39">AB40+AB41+AB42+AB43</f>
        <v>11200</v>
      </c>
      <c r="AC39" s="200">
        <f>W39/N39</f>
        <v>0.3627804783200467</v>
      </c>
      <c r="AD39" s="200">
        <f>X39/W39-1</f>
        <v>3.4271028738650857</v>
      </c>
      <c r="AE39" s="117">
        <f t="shared" si="61"/>
        <v>11129.929999999998</v>
      </c>
      <c r="AF39" s="117">
        <f t="shared" si="61"/>
        <v>9100.11</v>
      </c>
      <c r="AG39" s="204">
        <f t="shared" si="50"/>
        <v>0.9937437499999998</v>
      </c>
      <c r="AH39" s="204">
        <f aca="true" t="shared" si="62" ref="AH39:AH44">AF39/AE39-1</f>
        <v>-0.1823749116122022</v>
      </c>
      <c r="AI39" s="222" t="s">
        <v>99</v>
      </c>
      <c r="AJ39" s="116" t="e">
        <f>#REF!-#REF!</f>
        <v>#REF!</v>
      </c>
      <c r="AK39" s="221" t="e">
        <f>#REF!-#REF!</f>
        <v>#REF!</v>
      </c>
      <c r="AL39" s="116">
        <v>24</v>
      </c>
      <c r="AM39" s="116">
        <v>4</v>
      </c>
      <c r="AN39" s="116">
        <v>11</v>
      </c>
      <c r="AO39" s="119">
        <v>0</v>
      </c>
      <c r="AP39" s="117">
        <v>26</v>
      </c>
      <c r="AQ39" s="117">
        <v>68.48</v>
      </c>
      <c r="AR39" s="117">
        <v>48.24</v>
      </c>
      <c r="AS39" s="117">
        <v>19.86</v>
      </c>
      <c r="AT39" s="163">
        <f t="shared" si="55"/>
        <v>0.8553846153846154</v>
      </c>
      <c r="AU39" s="117">
        <v>19.86</v>
      </c>
      <c r="AV39" s="117">
        <v>14.9</v>
      </c>
      <c r="AW39" s="163">
        <f t="shared" si="56"/>
        <v>0.7044392523364486</v>
      </c>
      <c r="AX39" s="163">
        <v>1.65</v>
      </c>
      <c r="AY39" s="177" t="e">
        <f>(AP38-AN38)/AN38</f>
        <v>#REF!</v>
      </c>
      <c r="AZ39" s="177" t="e">
        <f>AP38/AO38</f>
        <v>#REF!</v>
      </c>
      <c r="BA39" s="177" t="e">
        <f>(AQ38-AP38)/AP38</f>
        <v>#REF!</v>
      </c>
      <c r="BB39" s="177">
        <f>(AN38-AL38)/AL38</f>
        <v>-0.5952960708356392</v>
      </c>
      <c r="BC39" s="177">
        <f>AN38/AM38</f>
        <v>0.26961362630880403</v>
      </c>
      <c r="BD39" s="177">
        <f>(AO38-AN38)/AN38</f>
        <v>3.2220702857924244</v>
      </c>
      <c r="BE39" s="117">
        <v>24.83</v>
      </c>
      <c r="BF39" s="117">
        <v>19.86</v>
      </c>
      <c r="BG39" s="117"/>
      <c r="BH39" s="117">
        <v>19.86</v>
      </c>
      <c r="BI39" s="117">
        <v>19.86</v>
      </c>
      <c r="BJ39" s="117">
        <v>18.18</v>
      </c>
      <c r="BK39" s="163">
        <f t="shared" si="59"/>
        <v>1.6664429530201341</v>
      </c>
      <c r="BL39" s="117">
        <v>18.18</v>
      </c>
      <c r="BM39" s="269">
        <v>18.18</v>
      </c>
      <c r="BN39" s="204">
        <f t="shared" si="60"/>
        <v>1</v>
      </c>
      <c r="BO39" s="264">
        <f aca="true" t="shared" si="63" ref="BO39:BO44">BM39/BL39-1</f>
        <v>0</v>
      </c>
      <c r="BP39" s="266" t="e">
        <f>#REF!/#REF!-1</f>
        <v>#REF!</v>
      </c>
    </row>
    <row r="40" spans="1:68" s="88" customFormat="1" ht="33.75" customHeight="1">
      <c r="A40" s="118" t="s">
        <v>100</v>
      </c>
      <c r="B40" s="115"/>
      <c r="C40" s="115"/>
      <c r="D40" s="116"/>
      <c r="E40" s="116"/>
      <c r="F40" s="116"/>
      <c r="G40" s="116"/>
      <c r="H40" s="117"/>
      <c r="I40" s="117"/>
      <c r="J40" s="117"/>
      <c r="K40" s="117"/>
      <c r="L40" s="163"/>
      <c r="M40" s="117"/>
      <c r="N40" s="117"/>
      <c r="O40" s="163"/>
      <c r="P40" s="163"/>
      <c r="Q40" s="177"/>
      <c r="R40" s="177"/>
      <c r="S40" s="177"/>
      <c r="T40" s="177"/>
      <c r="U40" s="177"/>
      <c r="V40" s="177"/>
      <c r="W40" s="117"/>
      <c r="X40" s="117"/>
      <c r="Y40" s="117"/>
      <c r="Z40" s="117"/>
      <c r="AA40" s="117"/>
      <c r="AB40" s="117">
        <v>10500</v>
      </c>
      <c r="AC40" s="200"/>
      <c r="AD40" s="200"/>
      <c r="AE40" s="117">
        <v>10492.46</v>
      </c>
      <c r="AF40" s="117">
        <f>5520+3080.11</f>
        <v>8600.11</v>
      </c>
      <c r="AG40" s="204">
        <f t="shared" si="50"/>
        <v>0.9992819047619047</v>
      </c>
      <c r="AH40" s="204">
        <f t="shared" si="62"/>
        <v>-0.18035332038435203</v>
      </c>
      <c r="AI40" s="222" t="s">
        <v>101</v>
      </c>
      <c r="AJ40" s="116" t="e">
        <f>#REF!-#REF!</f>
        <v>#REF!</v>
      </c>
      <c r="AK40" s="221" t="e">
        <f>#REF!-#REF!</f>
        <v>#REF!</v>
      </c>
      <c r="AL40" s="116">
        <v>18046</v>
      </c>
      <c r="AM40" s="116">
        <v>27120</v>
      </c>
      <c r="AN40" s="116">
        <v>7302</v>
      </c>
      <c r="AO40" s="116">
        <v>30863</v>
      </c>
      <c r="AP40" s="117">
        <v>6158</v>
      </c>
      <c r="AQ40" s="117">
        <v>16885.57</v>
      </c>
      <c r="AR40" s="117">
        <v>8812.48</v>
      </c>
      <c r="AS40" s="117">
        <v>9956.48</v>
      </c>
      <c r="AT40" s="163">
        <f t="shared" si="55"/>
        <v>0.4310620331276387</v>
      </c>
      <c r="AU40" s="117">
        <v>2944.65</v>
      </c>
      <c r="AV40" s="117">
        <v>5859.54</v>
      </c>
      <c r="AW40" s="163">
        <f t="shared" si="56"/>
        <v>0.5218941380125159</v>
      </c>
      <c r="AX40" s="163">
        <f t="shared" si="57"/>
        <v>0.12981589745451916</v>
      </c>
      <c r="AY40" s="119">
        <v>0</v>
      </c>
      <c r="AZ40" s="119">
        <v>0</v>
      </c>
      <c r="BA40" s="177" t="e">
        <f>(#REF!-#REF!)/#REF!</f>
        <v>#REF!</v>
      </c>
      <c r="BB40" s="119">
        <v>0</v>
      </c>
      <c r="BC40" s="252"/>
      <c r="BD40" s="252"/>
      <c r="BE40" s="117">
        <v>4170.06</v>
      </c>
      <c r="BF40" s="117">
        <v>11635.57</v>
      </c>
      <c r="BG40" s="117"/>
      <c r="BH40" s="117">
        <v>6694.59</v>
      </c>
      <c r="BI40" s="117">
        <v>5325.83</v>
      </c>
      <c r="BJ40" s="117">
        <v>4405.54</v>
      </c>
      <c r="BK40" s="163">
        <f t="shared" si="59"/>
        <v>0.7116701993671859</v>
      </c>
      <c r="BL40" s="117">
        <v>2765.1</v>
      </c>
      <c r="BM40" s="269">
        <v>4696.25</v>
      </c>
      <c r="BN40" s="204">
        <f t="shared" si="60"/>
        <v>0.6276415603989522</v>
      </c>
      <c r="BO40" s="264">
        <f t="shared" si="63"/>
        <v>0.6984015044663847</v>
      </c>
      <c r="BP40" s="266"/>
    </row>
    <row r="41" spans="1:68" s="88" customFormat="1" ht="33.75" customHeight="1">
      <c r="A41" s="118" t="s">
        <v>102</v>
      </c>
      <c r="B41" s="115"/>
      <c r="C41" s="115"/>
      <c r="D41" s="116"/>
      <c r="E41" s="116"/>
      <c r="F41" s="116"/>
      <c r="G41" s="116"/>
      <c r="H41" s="117"/>
      <c r="I41" s="117"/>
      <c r="J41" s="117"/>
      <c r="K41" s="117"/>
      <c r="L41" s="163"/>
      <c r="M41" s="117"/>
      <c r="N41" s="117"/>
      <c r="O41" s="163"/>
      <c r="P41" s="163"/>
      <c r="Q41" s="177"/>
      <c r="R41" s="177"/>
      <c r="S41" s="177"/>
      <c r="T41" s="177"/>
      <c r="U41" s="177"/>
      <c r="V41" s="177"/>
      <c r="W41" s="117"/>
      <c r="X41" s="117"/>
      <c r="Y41" s="117"/>
      <c r="Z41" s="117"/>
      <c r="AA41" s="117"/>
      <c r="AB41" s="117">
        <v>700</v>
      </c>
      <c r="AC41" s="200"/>
      <c r="AD41" s="200"/>
      <c r="AE41" s="117">
        <v>637.47</v>
      </c>
      <c r="AF41" s="117">
        <v>500</v>
      </c>
      <c r="AG41" s="204">
        <f t="shared" si="50"/>
        <v>0.9106714285714286</v>
      </c>
      <c r="AH41" s="204">
        <f t="shared" si="62"/>
        <v>-0.21564936389163414</v>
      </c>
      <c r="AI41" s="223" t="s">
        <v>103</v>
      </c>
      <c r="AJ41" s="229">
        <v>0</v>
      </c>
      <c r="AK41" s="229">
        <v>0</v>
      </c>
      <c r="AL41" s="119">
        <v>0</v>
      </c>
      <c r="AM41" s="119">
        <v>0</v>
      </c>
      <c r="AN41" s="119">
        <v>0</v>
      </c>
      <c r="AO41" s="242">
        <v>13</v>
      </c>
      <c r="AP41" s="117">
        <v>141</v>
      </c>
      <c r="AQ41" s="117">
        <v>105.85</v>
      </c>
      <c r="AR41" s="117">
        <v>148.54</v>
      </c>
      <c r="AS41" s="117">
        <v>87.05</v>
      </c>
      <c r="AT41" s="163">
        <f t="shared" si="55"/>
        <v>0.05347517730496443</v>
      </c>
      <c r="AU41" s="117">
        <v>145.74</v>
      </c>
      <c r="AV41" s="117">
        <v>229.26</v>
      </c>
      <c r="AW41" s="163">
        <f t="shared" si="56"/>
        <v>1.4033065658951347</v>
      </c>
      <c r="AX41" s="163">
        <f t="shared" si="57"/>
        <v>-0.41396256900498185</v>
      </c>
      <c r="AY41" s="177">
        <f>(AP40-AN40)/AN40</f>
        <v>-0.1566694056422898</v>
      </c>
      <c r="AZ41" s="177">
        <f>AP40/AO40</f>
        <v>0.19952694164533583</v>
      </c>
      <c r="BA41" s="177">
        <f>(AQ40-AP40)/AP40</f>
        <v>1.7420542383890874</v>
      </c>
      <c r="BB41" s="177">
        <f>(AN40-AL40)/AL40</f>
        <v>-0.5953673944364402</v>
      </c>
      <c r="BC41" s="177">
        <f>AN40/AM40</f>
        <v>0.26924778761061946</v>
      </c>
      <c r="BD41" s="177">
        <f>(AO40-AN40)/AN40</f>
        <v>3.226650232812928</v>
      </c>
      <c r="BE41" s="117">
        <v>239.62</v>
      </c>
      <c r="BF41" s="117">
        <v>329.51</v>
      </c>
      <c r="BG41" s="117"/>
      <c r="BH41" s="117">
        <v>458.55</v>
      </c>
      <c r="BI41" s="117">
        <v>347.79</v>
      </c>
      <c r="BJ41" s="117">
        <v>243.21</v>
      </c>
      <c r="BK41" s="163">
        <f t="shared" si="59"/>
        <v>1.0451888685335429</v>
      </c>
      <c r="BL41" s="117">
        <f>235.38-0.01</f>
        <v>235.37</v>
      </c>
      <c r="BM41" s="269">
        <v>261.06</v>
      </c>
      <c r="BN41" s="204">
        <f t="shared" si="60"/>
        <v>0.9677644833682826</v>
      </c>
      <c r="BO41" s="264">
        <f t="shared" si="63"/>
        <v>0.10914729999575146</v>
      </c>
      <c r="BP41" s="266"/>
    </row>
    <row r="42" spans="1:68" s="88" customFormat="1" ht="33.75" customHeight="1">
      <c r="A42" s="118" t="s">
        <v>104</v>
      </c>
      <c r="B42" s="115"/>
      <c r="C42" s="115"/>
      <c r="D42" s="116"/>
      <c r="E42" s="116"/>
      <c r="F42" s="116"/>
      <c r="G42" s="116"/>
      <c r="H42" s="117"/>
      <c r="I42" s="117"/>
      <c r="J42" s="117"/>
      <c r="K42" s="117"/>
      <c r="L42" s="163"/>
      <c r="M42" s="117"/>
      <c r="N42" s="117"/>
      <c r="O42" s="163"/>
      <c r="P42" s="163"/>
      <c r="Q42" s="177"/>
      <c r="R42" s="177"/>
      <c r="S42" s="177"/>
      <c r="T42" s="177"/>
      <c r="U42" s="177"/>
      <c r="V42" s="177"/>
      <c r="W42" s="117"/>
      <c r="X42" s="117"/>
      <c r="Y42" s="117"/>
      <c r="Z42" s="117"/>
      <c r="AA42" s="117"/>
      <c r="AB42" s="117">
        <v>0</v>
      </c>
      <c r="AC42" s="200"/>
      <c r="AD42" s="200"/>
      <c r="AE42" s="117">
        <v>0</v>
      </c>
      <c r="AF42" s="117">
        <v>0</v>
      </c>
      <c r="AG42" s="117">
        <v>0</v>
      </c>
      <c r="AH42" s="117">
        <v>0</v>
      </c>
      <c r="AI42" s="223" t="s">
        <v>105</v>
      </c>
      <c r="AJ42" s="229"/>
      <c r="AK42" s="229"/>
      <c r="AL42" s="119"/>
      <c r="AM42" s="119"/>
      <c r="AN42" s="119"/>
      <c r="AO42" s="242"/>
      <c r="AP42" s="117"/>
      <c r="AQ42" s="117"/>
      <c r="AR42" s="117"/>
      <c r="AS42" s="117"/>
      <c r="AT42" s="163"/>
      <c r="AU42" s="117"/>
      <c r="AV42" s="117">
        <v>0</v>
      </c>
      <c r="AW42" s="163"/>
      <c r="AX42" s="163"/>
      <c r="AY42" s="177"/>
      <c r="AZ42" s="177"/>
      <c r="BA42" s="177"/>
      <c r="BB42" s="177"/>
      <c r="BC42" s="177"/>
      <c r="BD42" s="177"/>
      <c r="BE42" s="117">
        <v>18.01</v>
      </c>
      <c r="BF42" s="117">
        <v>400</v>
      </c>
      <c r="BG42" s="117"/>
      <c r="BH42" s="117">
        <v>366.76</v>
      </c>
      <c r="BI42" s="117">
        <v>366.76</v>
      </c>
      <c r="BJ42" s="117">
        <v>340</v>
      </c>
      <c r="BK42" s="163">
        <v>1</v>
      </c>
      <c r="BL42" s="117">
        <v>333.46</v>
      </c>
      <c r="BM42" s="269">
        <v>329.8</v>
      </c>
      <c r="BN42" s="204">
        <f t="shared" si="60"/>
        <v>0.9807647058823529</v>
      </c>
      <c r="BO42" s="264">
        <f t="shared" si="63"/>
        <v>-0.010975829184909691</v>
      </c>
      <c r="BP42" s="266"/>
    </row>
    <row r="43" spans="1:68" s="88" customFormat="1" ht="33.75" customHeight="1">
      <c r="A43" s="118" t="s">
        <v>60</v>
      </c>
      <c r="B43" s="115"/>
      <c r="C43" s="115"/>
      <c r="D43" s="116"/>
      <c r="E43" s="116"/>
      <c r="F43" s="116"/>
      <c r="G43" s="116"/>
      <c r="H43" s="117"/>
      <c r="I43" s="117"/>
      <c r="J43" s="117"/>
      <c r="K43" s="117"/>
      <c r="L43" s="163"/>
      <c r="M43" s="117"/>
      <c r="N43" s="117"/>
      <c r="O43" s="163"/>
      <c r="P43" s="163"/>
      <c r="Q43" s="177"/>
      <c r="R43" s="177"/>
      <c r="S43" s="177"/>
      <c r="T43" s="177"/>
      <c r="U43" s="177"/>
      <c r="V43" s="177"/>
      <c r="W43" s="117"/>
      <c r="X43" s="117"/>
      <c r="Y43" s="117"/>
      <c r="Z43" s="117"/>
      <c r="AA43" s="117"/>
      <c r="AB43" s="117">
        <v>0</v>
      </c>
      <c r="AC43" s="200"/>
      <c r="AD43" s="200"/>
      <c r="AE43" s="117">
        <v>0</v>
      </c>
      <c r="AF43" s="117">
        <v>0</v>
      </c>
      <c r="AG43" s="117">
        <v>0</v>
      </c>
      <c r="AH43" s="117">
        <v>0</v>
      </c>
      <c r="AI43" s="223" t="s">
        <v>106</v>
      </c>
      <c r="AJ43" s="229"/>
      <c r="AK43" s="229"/>
      <c r="AL43" s="119"/>
      <c r="AM43" s="119"/>
      <c r="AN43" s="119"/>
      <c r="AO43" s="242"/>
      <c r="AP43" s="117"/>
      <c r="AQ43" s="117"/>
      <c r="AR43" s="117"/>
      <c r="AS43" s="117"/>
      <c r="AT43" s="163"/>
      <c r="AU43" s="117"/>
      <c r="AV43" s="117">
        <v>0</v>
      </c>
      <c r="AW43" s="163"/>
      <c r="AX43" s="163"/>
      <c r="AY43" s="177"/>
      <c r="AZ43" s="177"/>
      <c r="BA43" s="177"/>
      <c r="BB43" s="177"/>
      <c r="BC43" s="177"/>
      <c r="BD43" s="177"/>
      <c r="BE43" s="117">
        <v>8.85</v>
      </c>
      <c r="BF43" s="117">
        <v>5.5</v>
      </c>
      <c r="BG43" s="117"/>
      <c r="BH43" s="117">
        <v>5.5</v>
      </c>
      <c r="BI43" s="117">
        <v>5.5</v>
      </c>
      <c r="BJ43" s="117">
        <v>0</v>
      </c>
      <c r="BK43" s="163">
        <v>1</v>
      </c>
      <c r="BL43" s="117">
        <v>0</v>
      </c>
      <c r="BM43" s="117">
        <v>0</v>
      </c>
      <c r="BN43" s="117">
        <v>0</v>
      </c>
      <c r="BO43" s="270">
        <v>0</v>
      </c>
      <c r="BP43" s="266"/>
    </row>
    <row r="44" spans="1:68" s="88" customFormat="1" ht="33.75" customHeight="1">
      <c r="A44" s="136" t="s">
        <v>107</v>
      </c>
      <c r="B44" s="115"/>
      <c r="C44" s="115"/>
      <c r="D44" s="116">
        <v>936</v>
      </c>
      <c r="E44" s="119">
        <v>0</v>
      </c>
      <c r="F44" s="116">
        <v>677</v>
      </c>
      <c r="G44" s="119">
        <v>0</v>
      </c>
      <c r="H44" s="117">
        <v>743</v>
      </c>
      <c r="I44" s="117">
        <f>6325704/10000</f>
        <v>632.5704</v>
      </c>
      <c r="J44" s="117">
        <v>476.5</v>
      </c>
      <c r="K44" s="117">
        <v>100</v>
      </c>
      <c r="L44" s="163">
        <f>J44/H44-1</f>
        <v>-0.3586810228802153</v>
      </c>
      <c r="M44" s="117">
        <v>1868.1</v>
      </c>
      <c r="N44" s="117">
        <v>0</v>
      </c>
      <c r="O44" s="163">
        <f>J44/I44</f>
        <v>0.7532758409182599</v>
      </c>
      <c r="P44" s="163">
        <f>K44/J44-1</f>
        <v>-0.7901364113326338</v>
      </c>
      <c r="Q44" s="177">
        <f>(H44-F44)/F44</f>
        <v>0.09748892171344166</v>
      </c>
      <c r="R44" s="119">
        <v>0</v>
      </c>
      <c r="S44" s="177">
        <f>(I44-H44)/H44</f>
        <v>-0.1486266487213998</v>
      </c>
      <c r="T44" s="177">
        <f>(F38-D38)/D38</f>
        <v>3.1268084035727766</v>
      </c>
      <c r="U44" s="177">
        <f>F38/E38</f>
        <v>0.9607825908678206</v>
      </c>
      <c r="V44" s="177">
        <f>(G38-F38)/F38</f>
        <v>-0.3812035117668577</v>
      </c>
      <c r="W44" s="117">
        <v>1476.88</v>
      </c>
      <c r="X44" s="117">
        <v>117.65</v>
      </c>
      <c r="Y44" s="117"/>
      <c r="Z44" s="117">
        <v>265.72</v>
      </c>
      <c r="AA44" s="117">
        <v>265.72</v>
      </c>
      <c r="AB44" s="122">
        <f aca="true" t="shared" si="64" ref="AB44:AF44">AB45+AB46+AB47+AB48+AB49</f>
        <v>107.71</v>
      </c>
      <c r="AC44" s="122">
        <v>0</v>
      </c>
      <c r="AD44" s="201">
        <f>X44/W44-1</f>
        <v>-0.9203388223823195</v>
      </c>
      <c r="AE44" s="122">
        <f t="shared" si="64"/>
        <v>107.71</v>
      </c>
      <c r="AF44" s="117">
        <f t="shared" si="64"/>
        <v>0</v>
      </c>
      <c r="AG44" s="204">
        <f>AE44/AB44</f>
        <v>1</v>
      </c>
      <c r="AH44" s="204">
        <f t="shared" si="62"/>
        <v>-1</v>
      </c>
      <c r="AI44" s="224" t="s">
        <v>108</v>
      </c>
      <c r="AJ44" s="229"/>
      <c r="AK44" s="229"/>
      <c r="AL44" s="119"/>
      <c r="AM44" s="119"/>
      <c r="AN44" s="119"/>
      <c r="AO44" s="242"/>
      <c r="AP44" s="117"/>
      <c r="AQ44" s="117"/>
      <c r="AR44" s="117"/>
      <c r="AS44" s="117"/>
      <c r="AT44" s="163"/>
      <c r="AU44" s="117"/>
      <c r="AV44" s="117"/>
      <c r="AW44" s="163"/>
      <c r="AX44" s="163"/>
      <c r="AY44" s="177"/>
      <c r="AZ44" s="177"/>
      <c r="BA44" s="177"/>
      <c r="BB44" s="177"/>
      <c r="BC44" s="177"/>
      <c r="BD44" s="177"/>
      <c r="BE44" s="117"/>
      <c r="BF44" s="117"/>
      <c r="BG44" s="117"/>
      <c r="BH44" s="117"/>
      <c r="BI44" s="117"/>
      <c r="BJ44" s="122">
        <v>6000</v>
      </c>
      <c r="BK44" s="164"/>
      <c r="BL44" s="122">
        <v>6983.88</v>
      </c>
      <c r="BM44" s="122">
        <f>4069.51+3080.11</f>
        <v>7149.620000000001</v>
      </c>
      <c r="BN44" s="204">
        <f>BL44/BJ44</f>
        <v>1.16398</v>
      </c>
      <c r="BO44" s="264">
        <f t="shared" si="63"/>
        <v>0.023731793787980404</v>
      </c>
      <c r="BP44" s="266"/>
    </row>
    <row r="45" spans="1:68" s="88" customFormat="1" ht="33.75" customHeight="1">
      <c r="A45" s="118" t="s">
        <v>109</v>
      </c>
      <c r="B45" s="115"/>
      <c r="C45" s="115"/>
      <c r="D45" s="116"/>
      <c r="E45" s="119"/>
      <c r="F45" s="116"/>
      <c r="G45" s="119"/>
      <c r="H45" s="117"/>
      <c r="I45" s="117"/>
      <c r="J45" s="117"/>
      <c r="K45" s="117"/>
      <c r="L45" s="163"/>
      <c r="M45" s="117"/>
      <c r="N45" s="117"/>
      <c r="O45" s="163"/>
      <c r="P45" s="163"/>
      <c r="Q45" s="177"/>
      <c r="R45" s="119"/>
      <c r="S45" s="177"/>
      <c r="T45" s="177"/>
      <c r="U45" s="177"/>
      <c r="V45" s="177"/>
      <c r="W45" s="117"/>
      <c r="X45" s="117"/>
      <c r="Y45" s="117"/>
      <c r="Z45" s="117"/>
      <c r="AA45" s="117"/>
      <c r="AB45" s="117">
        <v>0</v>
      </c>
      <c r="AC45" s="117"/>
      <c r="AD45" s="200"/>
      <c r="AE45" s="117">
        <v>0</v>
      </c>
      <c r="AF45" s="117">
        <v>0</v>
      </c>
      <c r="AG45" s="117">
        <v>0</v>
      </c>
      <c r="AH45" s="117">
        <v>0</v>
      </c>
      <c r="AI45" s="224" t="s">
        <v>110</v>
      </c>
      <c r="AJ45" s="229"/>
      <c r="AK45" s="229"/>
      <c r="AL45" s="119"/>
      <c r="AM45" s="119"/>
      <c r="AN45" s="119"/>
      <c r="AO45" s="242"/>
      <c r="AP45" s="117"/>
      <c r="AQ45" s="117"/>
      <c r="AR45" s="117"/>
      <c r="AS45" s="117"/>
      <c r="AT45" s="163"/>
      <c r="AU45" s="117"/>
      <c r="AV45" s="117"/>
      <c r="AW45" s="163"/>
      <c r="AX45" s="163"/>
      <c r="AY45" s="177"/>
      <c r="AZ45" s="177"/>
      <c r="BA45" s="177"/>
      <c r="BB45" s="177"/>
      <c r="BC45" s="177"/>
      <c r="BD45" s="177"/>
      <c r="BE45" s="117"/>
      <c r="BF45" s="117"/>
      <c r="BG45" s="117"/>
      <c r="BH45" s="117"/>
      <c r="BI45" s="117"/>
      <c r="BJ45" s="117">
        <v>0</v>
      </c>
      <c r="BK45" s="163"/>
      <c r="BL45" s="117">
        <v>0</v>
      </c>
      <c r="BM45" s="117">
        <v>0</v>
      </c>
      <c r="BN45" s="117">
        <v>0</v>
      </c>
      <c r="BO45" s="270">
        <v>0</v>
      </c>
      <c r="BP45" s="271">
        <v>0</v>
      </c>
    </row>
    <row r="46" spans="1:68" s="88" customFormat="1" ht="39.75" customHeight="1">
      <c r="A46" s="118" t="s">
        <v>111</v>
      </c>
      <c r="B46" s="115"/>
      <c r="C46" s="115"/>
      <c r="D46" s="116"/>
      <c r="E46" s="119"/>
      <c r="F46" s="116"/>
      <c r="G46" s="119"/>
      <c r="H46" s="117"/>
      <c r="I46" s="117"/>
      <c r="J46" s="117"/>
      <c r="K46" s="117"/>
      <c r="L46" s="163"/>
      <c r="M46" s="117"/>
      <c r="N46" s="117"/>
      <c r="O46" s="163"/>
      <c r="P46" s="163"/>
      <c r="Q46" s="177"/>
      <c r="R46" s="119"/>
      <c r="S46" s="177"/>
      <c r="T46" s="177"/>
      <c r="U46" s="177"/>
      <c r="V46" s="177"/>
      <c r="W46" s="117"/>
      <c r="X46" s="117"/>
      <c r="Y46" s="117"/>
      <c r="Z46" s="117"/>
      <c r="AA46" s="117"/>
      <c r="AB46" s="117">
        <v>0</v>
      </c>
      <c r="AC46" s="117"/>
      <c r="AD46" s="200"/>
      <c r="AE46" s="117">
        <v>0</v>
      </c>
      <c r="AF46" s="117">
        <v>0</v>
      </c>
      <c r="AG46" s="117">
        <v>0</v>
      </c>
      <c r="AH46" s="117">
        <v>0</v>
      </c>
      <c r="AI46" s="224" t="s">
        <v>112</v>
      </c>
      <c r="AJ46" s="229"/>
      <c r="AK46" s="229"/>
      <c r="AL46" s="119"/>
      <c r="AM46" s="119"/>
      <c r="AN46" s="119"/>
      <c r="AO46" s="242"/>
      <c r="AP46" s="117"/>
      <c r="AQ46" s="117"/>
      <c r="AR46" s="117"/>
      <c r="AS46" s="117"/>
      <c r="AT46" s="163"/>
      <c r="AU46" s="117"/>
      <c r="AV46" s="117"/>
      <c r="AW46" s="163"/>
      <c r="AX46" s="163"/>
      <c r="AY46" s="177"/>
      <c r="AZ46" s="177"/>
      <c r="BA46" s="177"/>
      <c r="BB46" s="177"/>
      <c r="BC46" s="177"/>
      <c r="BD46" s="177"/>
      <c r="BE46" s="117"/>
      <c r="BF46" s="117"/>
      <c r="BG46" s="117"/>
      <c r="BH46" s="117"/>
      <c r="BI46" s="117"/>
      <c r="BJ46" s="122">
        <v>2769.13</v>
      </c>
      <c r="BK46" s="164"/>
      <c r="BL46" s="122">
        <v>3370</v>
      </c>
      <c r="BM46" s="196">
        <v>15.2</v>
      </c>
      <c r="BN46" s="204">
        <f>BL46/BJ46</f>
        <v>1.2169887293120945</v>
      </c>
      <c r="BO46" s="264">
        <f>BM46/BL46-1</f>
        <v>-0.9954896142433235</v>
      </c>
      <c r="BP46" s="266" t="e">
        <f>#REF!/#REF!-1</f>
        <v>#REF!</v>
      </c>
    </row>
    <row r="47" spans="1:68" s="88" customFormat="1" ht="33.75" customHeight="1">
      <c r="A47" s="118" t="s">
        <v>113</v>
      </c>
      <c r="B47" s="121"/>
      <c r="C47" s="121"/>
      <c r="D47" s="137"/>
      <c r="E47" s="119"/>
      <c r="F47" s="137"/>
      <c r="G47" s="119"/>
      <c r="H47" s="122"/>
      <c r="I47" s="122"/>
      <c r="J47" s="122"/>
      <c r="K47" s="122"/>
      <c r="L47" s="164"/>
      <c r="M47" s="122"/>
      <c r="N47" s="122"/>
      <c r="O47" s="164"/>
      <c r="P47" s="164"/>
      <c r="Q47" s="177"/>
      <c r="R47" s="119"/>
      <c r="S47" s="177"/>
      <c r="T47" s="177"/>
      <c r="U47" s="177"/>
      <c r="V47" s="177"/>
      <c r="W47" s="122"/>
      <c r="X47" s="122"/>
      <c r="Y47" s="122"/>
      <c r="Z47" s="122"/>
      <c r="AA47" s="122"/>
      <c r="AB47" s="117">
        <v>107.71</v>
      </c>
      <c r="AC47" s="122"/>
      <c r="AD47" s="201"/>
      <c r="AE47" s="117">
        <v>107.71</v>
      </c>
      <c r="AF47" s="117">
        <v>0</v>
      </c>
      <c r="AG47" s="204">
        <f aca="true" t="shared" si="65" ref="AG47:AG52">AE47/AB47</f>
        <v>1</v>
      </c>
      <c r="AH47" s="204">
        <f>AF47/AE47-1</f>
        <v>-1</v>
      </c>
      <c r="AI47" s="223"/>
      <c r="AJ47" s="229"/>
      <c r="AK47" s="229"/>
      <c r="AL47" s="119"/>
      <c r="AM47" s="119"/>
      <c r="AN47" s="119"/>
      <c r="AO47" s="242"/>
      <c r="AP47" s="117"/>
      <c r="AQ47" s="117"/>
      <c r="AR47" s="117"/>
      <c r="AS47" s="117"/>
      <c r="AT47" s="163"/>
      <c r="AU47" s="117"/>
      <c r="AV47" s="117"/>
      <c r="AW47" s="163"/>
      <c r="AX47" s="163"/>
      <c r="AY47" s="177"/>
      <c r="AZ47" s="177"/>
      <c r="BA47" s="177"/>
      <c r="BB47" s="177"/>
      <c r="BC47" s="177"/>
      <c r="BD47" s="177"/>
      <c r="BE47" s="117"/>
      <c r="BF47" s="117"/>
      <c r="BG47" s="117"/>
      <c r="BH47" s="117"/>
      <c r="BI47" s="117"/>
      <c r="BJ47" s="117"/>
      <c r="BK47" s="163"/>
      <c r="BL47" s="117"/>
      <c r="BM47" s="269"/>
      <c r="BN47" s="195"/>
      <c r="BO47" s="272"/>
      <c r="BP47" s="266" t="e">
        <f>#REF!/#REF!-1</f>
        <v>#REF!</v>
      </c>
    </row>
    <row r="48" spans="1:68" s="88" customFormat="1" ht="33.75" customHeight="1">
      <c r="A48" s="118" t="s">
        <v>114</v>
      </c>
      <c r="B48" s="121"/>
      <c r="C48" s="121"/>
      <c r="D48" s="137"/>
      <c r="E48" s="119"/>
      <c r="F48" s="137"/>
      <c r="G48" s="119"/>
      <c r="H48" s="122"/>
      <c r="I48" s="122"/>
      <c r="J48" s="122"/>
      <c r="K48" s="122"/>
      <c r="L48" s="164"/>
      <c r="M48" s="122"/>
      <c r="N48" s="122"/>
      <c r="O48" s="164"/>
      <c r="P48" s="164"/>
      <c r="Q48" s="177"/>
      <c r="R48" s="119"/>
      <c r="S48" s="177"/>
      <c r="T48" s="177"/>
      <c r="U48" s="177"/>
      <c r="V48" s="177"/>
      <c r="W48" s="122"/>
      <c r="X48" s="122"/>
      <c r="Y48" s="122"/>
      <c r="Z48" s="122"/>
      <c r="AA48" s="122"/>
      <c r="AB48" s="122">
        <v>0</v>
      </c>
      <c r="AC48" s="122"/>
      <c r="AD48" s="201"/>
      <c r="AE48" s="117">
        <v>0</v>
      </c>
      <c r="AF48" s="117">
        <v>0</v>
      </c>
      <c r="AG48" s="117">
        <v>0</v>
      </c>
      <c r="AH48" s="117">
        <v>0</v>
      </c>
      <c r="AI48" s="223"/>
      <c r="AJ48" s="229"/>
      <c r="AK48" s="229"/>
      <c r="AL48" s="119"/>
      <c r="AM48" s="119"/>
      <c r="AN48" s="119"/>
      <c r="AO48" s="242"/>
      <c r="AP48" s="117"/>
      <c r="AQ48" s="117"/>
      <c r="AR48" s="117"/>
      <c r="AS48" s="117"/>
      <c r="AT48" s="163"/>
      <c r="AU48" s="117"/>
      <c r="AV48" s="117"/>
      <c r="AW48" s="163"/>
      <c r="AX48" s="163"/>
      <c r="AY48" s="177"/>
      <c r="AZ48" s="177"/>
      <c r="BA48" s="177"/>
      <c r="BB48" s="177"/>
      <c r="BC48" s="177"/>
      <c r="BD48" s="177"/>
      <c r="BE48" s="117"/>
      <c r="BF48" s="117"/>
      <c r="BG48" s="117"/>
      <c r="BH48" s="117"/>
      <c r="BI48" s="117"/>
      <c r="BJ48" s="117"/>
      <c r="BK48" s="163"/>
      <c r="BL48" s="117"/>
      <c r="BM48" s="269"/>
      <c r="BN48" s="195"/>
      <c r="BO48" s="272"/>
      <c r="BP48" s="271"/>
    </row>
    <row r="49" spans="1:68" s="88" customFormat="1" ht="33.75" customHeight="1">
      <c r="A49" s="118" t="s">
        <v>115</v>
      </c>
      <c r="B49" s="115"/>
      <c r="C49" s="115"/>
      <c r="D49" s="116"/>
      <c r="E49" s="119"/>
      <c r="F49" s="116"/>
      <c r="G49" s="119"/>
      <c r="H49" s="117"/>
      <c r="I49" s="117"/>
      <c r="J49" s="117"/>
      <c r="K49" s="117"/>
      <c r="L49" s="163"/>
      <c r="M49" s="117"/>
      <c r="N49" s="117"/>
      <c r="O49" s="163"/>
      <c r="P49" s="163"/>
      <c r="Q49" s="177"/>
      <c r="R49" s="119"/>
      <c r="S49" s="177"/>
      <c r="T49" s="177"/>
      <c r="U49" s="177"/>
      <c r="V49" s="177"/>
      <c r="W49" s="117"/>
      <c r="X49" s="117"/>
      <c r="Y49" s="117"/>
      <c r="Z49" s="122"/>
      <c r="AA49" s="122"/>
      <c r="AB49" s="117">
        <v>0</v>
      </c>
      <c r="AC49" s="117"/>
      <c r="AD49" s="200"/>
      <c r="AE49" s="117">
        <v>0</v>
      </c>
      <c r="AF49" s="117">
        <v>0</v>
      </c>
      <c r="AG49" s="117">
        <v>0</v>
      </c>
      <c r="AH49" s="117">
        <v>0</v>
      </c>
      <c r="AI49" s="223"/>
      <c r="AJ49" s="229"/>
      <c r="AK49" s="229"/>
      <c r="AL49" s="119"/>
      <c r="AM49" s="119"/>
      <c r="AN49" s="119"/>
      <c r="AO49" s="242"/>
      <c r="AP49" s="117"/>
      <c r="AQ49" s="117"/>
      <c r="AR49" s="117"/>
      <c r="AS49" s="117"/>
      <c r="AT49" s="163"/>
      <c r="AU49" s="117"/>
      <c r="AV49" s="117"/>
      <c r="AW49" s="163"/>
      <c r="AX49" s="163"/>
      <c r="AY49" s="177"/>
      <c r="AZ49" s="177"/>
      <c r="BA49" s="177"/>
      <c r="BB49" s="177"/>
      <c r="BC49" s="177"/>
      <c r="BD49" s="177"/>
      <c r="BE49" s="117"/>
      <c r="BF49" s="117"/>
      <c r="BG49" s="117"/>
      <c r="BH49" s="117"/>
      <c r="BI49" s="117"/>
      <c r="BJ49" s="117"/>
      <c r="BK49" s="163"/>
      <c r="BL49" s="117"/>
      <c r="BM49" s="269"/>
      <c r="BN49" s="195"/>
      <c r="BO49" s="272"/>
      <c r="BP49" s="271"/>
    </row>
    <row r="50" spans="1:68" s="88" customFormat="1" ht="33.75" customHeight="1">
      <c r="A50" s="136" t="s">
        <v>116</v>
      </c>
      <c r="B50" s="115"/>
      <c r="C50" s="115"/>
      <c r="D50" s="116"/>
      <c r="E50" s="119"/>
      <c r="F50" s="116"/>
      <c r="G50" s="119"/>
      <c r="H50" s="117"/>
      <c r="I50" s="117"/>
      <c r="J50" s="117"/>
      <c r="K50" s="117"/>
      <c r="L50" s="163"/>
      <c r="M50" s="117"/>
      <c r="N50" s="117"/>
      <c r="O50" s="163"/>
      <c r="P50" s="163"/>
      <c r="Q50" s="177"/>
      <c r="R50" s="119"/>
      <c r="S50" s="177"/>
      <c r="T50" s="177"/>
      <c r="U50" s="177"/>
      <c r="V50" s="177"/>
      <c r="W50" s="117"/>
      <c r="X50" s="117"/>
      <c r="Y50" s="117"/>
      <c r="Z50" s="117"/>
      <c r="AA50" s="117"/>
      <c r="AB50" s="122">
        <v>0</v>
      </c>
      <c r="AC50" s="117"/>
      <c r="AD50" s="200"/>
      <c r="AE50" s="117">
        <v>0</v>
      </c>
      <c r="AF50" s="117">
        <v>0</v>
      </c>
      <c r="AG50" s="117">
        <v>0</v>
      </c>
      <c r="AH50" s="117">
        <v>0</v>
      </c>
      <c r="AI50" s="223"/>
      <c r="AJ50" s="229"/>
      <c r="AK50" s="229"/>
      <c r="AL50" s="119"/>
      <c r="AM50" s="119"/>
      <c r="AN50" s="119"/>
      <c r="AO50" s="242"/>
      <c r="AP50" s="117"/>
      <c r="AQ50" s="117"/>
      <c r="AR50" s="117"/>
      <c r="AS50" s="117"/>
      <c r="AT50" s="163"/>
      <c r="AU50" s="117"/>
      <c r="AV50" s="117"/>
      <c r="AW50" s="163"/>
      <c r="AX50" s="163"/>
      <c r="AY50" s="177"/>
      <c r="AZ50" s="177"/>
      <c r="BA50" s="177"/>
      <c r="BB50" s="177"/>
      <c r="BC50" s="177"/>
      <c r="BD50" s="177"/>
      <c r="BE50" s="117"/>
      <c r="BF50" s="117"/>
      <c r="BG50" s="117"/>
      <c r="BH50" s="117"/>
      <c r="BI50" s="117"/>
      <c r="BJ50" s="117"/>
      <c r="BK50" s="163"/>
      <c r="BL50" s="117"/>
      <c r="BM50" s="269"/>
      <c r="BN50" s="195"/>
      <c r="BO50" s="272"/>
      <c r="BP50" s="271"/>
    </row>
    <row r="51" spans="1:68" s="88" customFormat="1" ht="33.75" customHeight="1">
      <c r="A51" s="138" t="s">
        <v>117</v>
      </c>
      <c r="B51" s="115"/>
      <c r="C51" s="115"/>
      <c r="D51" s="116"/>
      <c r="E51" s="116"/>
      <c r="F51" s="116"/>
      <c r="G51" s="116"/>
      <c r="H51" s="117"/>
      <c r="I51" s="117"/>
      <c r="J51" s="117"/>
      <c r="K51" s="117"/>
      <c r="L51" s="163"/>
      <c r="M51" s="117"/>
      <c r="N51" s="117"/>
      <c r="O51" s="163"/>
      <c r="P51" s="163"/>
      <c r="Q51" s="177"/>
      <c r="R51" s="177"/>
      <c r="S51" s="177"/>
      <c r="T51" s="177"/>
      <c r="U51" s="177"/>
      <c r="V51" s="177"/>
      <c r="W51" s="178"/>
      <c r="X51" s="178"/>
      <c r="Y51" s="178"/>
      <c r="Z51" s="178"/>
      <c r="AA51" s="178"/>
      <c r="AB51" s="122">
        <v>2468.35</v>
      </c>
      <c r="AC51" s="201"/>
      <c r="AD51" s="201"/>
      <c r="AE51" s="122">
        <v>2468.35</v>
      </c>
      <c r="AF51" s="122">
        <v>3370</v>
      </c>
      <c r="AG51" s="204">
        <f t="shared" si="65"/>
        <v>1</v>
      </c>
      <c r="AH51" s="204">
        <f>AF51/AE51-1</f>
        <v>0.36528450179269556</v>
      </c>
      <c r="AI51" s="223"/>
      <c r="AJ51" s="229"/>
      <c r="AK51" s="229"/>
      <c r="AL51" s="119"/>
      <c r="AM51" s="119"/>
      <c r="AN51" s="119"/>
      <c r="AO51" s="242"/>
      <c r="AP51" s="117"/>
      <c r="AQ51" s="117"/>
      <c r="AR51" s="117"/>
      <c r="AS51" s="117"/>
      <c r="AT51" s="163"/>
      <c r="AU51" s="117"/>
      <c r="AV51" s="117"/>
      <c r="AW51" s="163"/>
      <c r="AX51" s="163"/>
      <c r="AY51" s="177"/>
      <c r="AZ51" s="177"/>
      <c r="BA51" s="177"/>
      <c r="BB51" s="177"/>
      <c r="BC51" s="177"/>
      <c r="BD51" s="177"/>
      <c r="BE51" s="117"/>
      <c r="BF51" s="117"/>
      <c r="BG51" s="117"/>
      <c r="BH51" s="117"/>
      <c r="BI51" s="117"/>
      <c r="BJ51" s="117"/>
      <c r="BK51" s="117"/>
      <c r="BL51" s="117"/>
      <c r="BM51" s="117"/>
      <c r="BN51" s="260"/>
      <c r="BO51" s="273"/>
      <c r="BP51" s="271">
        <v>0</v>
      </c>
    </row>
    <row r="52" spans="1:68" s="89" customFormat="1" ht="33.75" customHeight="1">
      <c r="A52" s="139" t="s">
        <v>118</v>
      </c>
      <c r="B52" s="140"/>
      <c r="C52" s="140"/>
      <c r="D52" s="141"/>
      <c r="E52" s="141"/>
      <c r="F52" s="141"/>
      <c r="G52" s="141"/>
      <c r="H52" s="142"/>
      <c r="I52" s="142"/>
      <c r="J52" s="142"/>
      <c r="K52" s="142"/>
      <c r="L52" s="166"/>
      <c r="M52" s="142"/>
      <c r="N52" s="142"/>
      <c r="O52" s="166"/>
      <c r="P52" s="166"/>
      <c r="Q52" s="179"/>
      <c r="R52" s="179"/>
      <c r="S52" s="179"/>
      <c r="T52" s="179"/>
      <c r="U52" s="179"/>
      <c r="V52" s="179"/>
      <c r="W52" s="180"/>
      <c r="X52" s="180"/>
      <c r="Y52" s="180"/>
      <c r="Z52" s="180"/>
      <c r="AA52" s="180"/>
      <c r="AB52" s="197">
        <f aca="true" t="shared" si="66" ref="AB52:AF52">AB38+AB44+AB50+AB51</f>
        <v>13776.06</v>
      </c>
      <c r="AC52" s="197"/>
      <c r="AD52" s="197"/>
      <c r="AE52" s="197">
        <f t="shared" si="66"/>
        <v>13705.989999999998</v>
      </c>
      <c r="AF52" s="142">
        <f t="shared" si="66"/>
        <v>12470.11</v>
      </c>
      <c r="AG52" s="204">
        <f t="shared" si="65"/>
        <v>0.9949136400393145</v>
      </c>
      <c r="AH52" s="204">
        <f>AF52/AE52-1</f>
        <v>-0.09017079393754102</v>
      </c>
      <c r="AI52" s="230" t="s">
        <v>119</v>
      </c>
      <c r="AJ52" s="151"/>
      <c r="AK52" s="151"/>
      <c r="AL52" s="151"/>
      <c r="AM52" s="151"/>
      <c r="AN52" s="151"/>
      <c r="AO52" s="243"/>
      <c r="AP52" s="142"/>
      <c r="AQ52" s="142"/>
      <c r="AR52" s="142"/>
      <c r="AS52" s="142"/>
      <c r="AT52" s="166"/>
      <c r="AU52" s="142"/>
      <c r="AV52" s="142"/>
      <c r="AW52" s="166"/>
      <c r="AX52" s="166"/>
      <c r="AY52" s="179"/>
      <c r="AZ52" s="179"/>
      <c r="BA52" s="179"/>
      <c r="BB52" s="179"/>
      <c r="BC52" s="179"/>
      <c r="BD52" s="179"/>
      <c r="BE52" s="142"/>
      <c r="BF52" s="142"/>
      <c r="BG52" s="142"/>
      <c r="BH52" s="142"/>
      <c r="BI52" s="142"/>
      <c r="BJ52" s="142">
        <f aca="true" t="shared" si="67" ref="BJ52:BM52">BJ38+BJ44+BJ45+BJ46</f>
        <v>13776.060000000001</v>
      </c>
      <c r="BK52" s="142"/>
      <c r="BL52" s="142">
        <f t="shared" si="67"/>
        <v>13705.99</v>
      </c>
      <c r="BM52" s="142">
        <f t="shared" si="67"/>
        <v>12470.110000000002</v>
      </c>
      <c r="BN52" s="204">
        <f aca="true" t="shared" si="68" ref="BN52:BN55">BL52/BJ52</f>
        <v>0.9949136400393145</v>
      </c>
      <c r="BO52" s="264">
        <f>BM52/BL52-1</f>
        <v>-0.09017079393754102</v>
      </c>
      <c r="BP52" s="274"/>
    </row>
    <row r="53" spans="1:68" s="88" customFormat="1" ht="21" customHeight="1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202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275"/>
      <c r="BP53" s="271"/>
    </row>
    <row r="54" spans="1:68" s="88" customFormat="1" ht="33.75" customHeight="1">
      <c r="A54" s="145" t="s">
        <v>120</v>
      </c>
      <c r="B54" s="112"/>
      <c r="C54" s="112"/>
      <c r="D54" s="146"/>
      <c r="E54" s="147"/>
      <c r="F54" s="146"/>
      <c r="G54" s="147"/>
      <c r="H54" s="113"/>
      <c r="I54" s="113"/>
      <c r="J54" s="113"/>
      <c r="K54" s="113"/>
      <c r="L54" s="162"/>
      <c r="M54" s="113"/>
      <c r="N54" s="113"/>
      <c r="O54" s="162"/>
      <c r="P54" s="162"/>
      <c r="Q54" s="176"/>
      <c r="R54" s="147"/>
      <c r="S54" s="176"/>
      <c r="T54" s="176"/>
      <c r="U54" s="176"/>
      <c r="V54" s="176"/>
      <c r="W54" s="181"/>
      <c r="X54" s="181">
        <v>0</v>
      </c>
      <c r="Y54" s="181"/>
      <c r="Z54" s="113">
        <v>0</v>
      </c>
      <c r="AA54" s="113">
        <v>0</v>
      </c>
      <c r="AB54" s="113">
        <f aca="true" t="shared" si="69" ref="AB54:AF54">AB55+AB56</f>
        <v>4055</v>
      </c>
      <c r="AC54" s="203"/>
      <c r="AD54" s="204"/>
      <c r="AE54" s="113">
        <f t="shared" si="69"/>
        <v>4086.81</v>
      </c>
      <c r="AF54" s="113">
        <f t="shared" si="69"/>
        <v>4036</v>
      </c>
      <c r="AG54" s="204">
        <f aca="true" t="shared" si="70" ref="AG54:AG56">AE54/AB54</f>
        <v>1.0078446362515412</v>
      </c>
      <c r="AH54" s="204">
        <f>AF54/AE54-1</f>
        <v>-0.012432679767349075</v>
      </c>
      <c r="AI54" s="231" t="s">
        <v>121</v>
      </c>
      <c r="AJ54" s="232"/>
      <c r="AK54" s="232"/>
      <c r="AL54" s="147"/>
      <c r="AM54" s="147"/>
      <c r="AN54" s="147"/>
      <c r="AO54" s="244"/>
      <c r="AP54" s="245"/>
      <c r="AQ54" s="245"/>
      <c r="AR54" s="245"/>
      <c r="AS54" s="245"/>
      <c r="AT54" s="246"/>
      <c r="AU54" s="245"/>
      <c r="AV54" s="245"/>
      <c r="AW54" s="246"/>
      <c r="AX54" s="246"/>
      <c r="AY54" s="176"/>
      <c r="AZ54" s="176"/>
      <c r="BA54" s="176"/>
      <c r="BB54" s="176"/>
      <c r="BC54" s="176"/>
      <c r="BD54" s="176"/>
      <c r="BE54" s="245"/>
      <c r="BF54" s="245">
        <v>0</v>
      </c>
      <c r="BG54" s="245"/>
      <c r="BH54" s="113">
        <v>0</v>
      </c>
      <c r="BI54" s="113">
        <v>0</v>
      </c>
      <c r="BJ54" s="113">
        <f aca="true" t="shared" si="71" ref="BJ54:BM54">BJ55+BJ56</f>
        <v>4019</v>
      </c>
      <c r="BK54" s="259"/>
      <c r="BL54" s="113">
        <f t="shared" si="71"/>
        <v>4031.81</v>
      </c>
      <c r="BM54" s="113">
        <f t="shared" si="71"/>
        <v>4036</v>
      </c>
      <c r="BN54" s="204">
        <f t="shared" si="68"/>
        <v>1.003187360039811</v>
      </c>
      <c r="BO54" s="264">
        <f>BM54/BL54-1</f>
        <v>0.001039235479846523</v>
      </c>
      <c r="BP54" s="271"/>
    </row>
    <row r="55" spans="1:68" s="88" customFormat="1" ht="42" customHeight="1">
      <c r="A55" s="118" t="s">
        <v>122</v>
      </c>
      <c r="B55" s="115"/>
      <c r="C55" s="115"/>
      <c r="D55" s="116"/>
      <c r="E55" s="119"/>
      <c r="F55" s="116"/>
      <c r="G55" s="119"/>
      <c r="H55" s="117"/>
      <c r="I55" s="117"/>
      <c r="J55" s="117"/>
      <c r="K55" s="117"/>
      <c r="L55" s="163"/>
      <c r="M55" s="117"/>
      <c r="N55" s="117"/>
      <c r="O55" s="163"/>
      <c r="P55" s="163"/>
      <c r="Q55" s="177"/>
      <c r="R55" s="119"/>
      <c r="S55" s="177"/>
      <c r="T55" s="177"/>
      <c r="U55" s="177"/>
      <c r="V55" s="177"/>
      <c r="W55" s="178"/>
      <c r="X55" s="178">
        <v>0</v>
      </c>
      <c r="Y55" s="178"/>
      <c r="Z55" s="117">
        <v>0</v>
      </c>
      <c r="AA55" s="117">
        <v>0</v>
      </c>
      <c r="AB55" s="117">
        <v>4019</v>
      </c>
      <c r="AC55" s="194"/>
      <c r="AD55" s="195"/>
      <c r="AE55" s="117">
        <v>4052.71</v>
      </c>
      <c r="AF55" s="122">
        <v>4036</v>
      </c>
      <c r="AG55" s="195">
        <f t="shared" si="70"/>
        <v>1.0083876586215477</v>
      </c>
      <c r="AH55" s="195">
        <f>AF55/AE55-1</f>
        <v>-0.0041231669672885385</v>
      </c>
      <c r="AI55" s="223" t="s">
        <v>123</v>
      </c>
      <c r="AJ55" s="229"/>
      <c r="AK55" s="229"/>
      <c r="AL55" s="119"/>
      <c r="AM55" s="119"/>
      <c r="AN55" s="119"/>
      <c r="AO55" s="242"/>
      <c r="AP55" s="117"/>
      <c r="AQ55" s="117"/>
      <c r="AR55" s="117"/>
      <c r="AS55" s="117"/>
      <c r="AT55" s="163"/>
      <c r="AU55" s="117"/>
      <c r="AV55" s="117"/>
      <c r="AW55" s="163"/>
      <c r="AX55" s="163"/>
      <c r="AY55" s="177"/>
      <c r="AZ55" s="177"/>
      <c r="BA55" s="177"/>
      <c r="BB55" s="177"/>
      <c r="BC55" s="177"/>
      <c r="BD55" s="177"/>
      <c r="BE55" s="117"/>
      <c r="BF55" s="117">
        <v>0</v>
      </c>
      <c r="BG55" s="117"/>
      <c r="BH55" s="117">
        <v>0</v>
      </c>
      <c r="BI55" s="117">
        <v>0</v>
      </c>
      <c r="BJ55" s="117">
        <v>4019</v>
      </c>
      <c r="BK55" s="260"/>
      <c r="BL55" s="200">
        <f>4031.81</f>
        <v>4031.81</v>
      </c>
      <c r="BM55" s="200">
        <v>4036</v>
      </c>
      <c r="BN55" s="195">
        <f t="shared" si="68"/>
        <v>1.003187360039811</v>
      </c>
      <c r="BO55" s="272">
        <f>BM55/BL55-1</f>
        <v>0.001039235479846523</v>
      </c>
      <c r="BP55" s="271"/>
    </row>
    <row r="56" spans="1:68" s="88" customFormat="1" ht="42.75" customHeight="1">
      <c r="A56" s="118" t="s">
        <v>124</v>
      </c>
      <c r="B56" s="115"/>
      <c r="C56" s="115"/>
      <c r="D56" s="116"/>
      <c r="E56" s="119"/>
      <c r="F56" s="116"/>
      <c r="G56" s="119"/>
      <c r="H56" s="117"/>
      <c r="I56" s="117"/>
      <c r="J56" s="117"/>
      <c r="K56" s="117"/>
      <c r="L56" s="163"/>
      <c r="M56" s="117"/>
      <c r="N56" s="117"/>
      <c r="O56" s="163"/>
      <c r="P56" s="163"/>
      <c r="Q56" s="177"/>
      <c r="R56" s="119"/>
      <c r="S56" s="177"/>
      <c r="T56" s="177"/>
      <c r="U56" s="177"/>
      <c r="V56" s="177"/>
      <c r="W56" s="178"/>
      <c r="X56" s="178">
        <v>0</v>
      </c>
      <c r="Y56" s="178"/>
      <c r="Z56" s="117">
        <v>0</v>
      </c>
      <c r="AA56" s="117">
        <v>0</v>
      </c>
      <c r="AB56" s="117">
        <v>36</v>
      </c>
      <c r="AC56" s="194"/>
      <c r="AD56" s="195"/>
      <c r="AE56" s="117">
        <v>34.1</v>
      </c>
      <c r="AF56" s="122">
        <v>0</v>
      </c>
      <c r="AG56" s="195">
        <f t="shared" si="70"/>
        <v>0.9472222222222223</v>
      </c>
      <c r="AH56" s="204">
        <f>AF56/AE56-1</f>
        <v>-1</v>
      </c>
      <c r="AI56" s="223" t="s">
        <v>125</v>
      </c>
      <c r="AJ56" s="229"/>
      <c r="AK56" s="229"/>
      <c r="AL56" s="119"/>
      <c r="AM56" s="119"/>
      <c r="AN56" s="119"/>
      <c r="AO56" s="242"/>
      <c r="AP56" s="117"/>
      <c r="AQ56" s="117"/>
      <c r="AR56" s="117"/>
      <c r="AS56" s="117"/>
      <c r="AT56" s="163"/>
      <c r="AU56" s="117"/>
      <c r="AV56" s="117"/>
      <c r="AW56" s="163"/>
      <c r="AX56" s="163"/>
      <c r="AY56" s="177"/>
      <c r="AZ56" s="177"/>
      <c r="BA56" s="177"/>
      <c r="BB56" s="177"/>
      <c r="BC56" s="177"/>
      <c r="BD56" s="177"/>
      <c r="BE56" s="117"/>
      <c r="BF56" s="117"/>
      <c r="BG56" s="117"/>
      <c r="BH56" s="117">
        <v>0</v>
      </c>
      <c r="BI56" s="117">
        <v>0</v>
      </c>
      <c r="BJ56" s="117">
        <v>0</v>
      </c>
      <c r="BK56" s="260"/>
      <c r="BL56" s="200">
        <v>0</v>
      </c>
      <c r="BM56" s="117">
        <v>0</v>
      </c>
      <c r="BN56" s="200">
        <v>0</v>
      </c>
      <c r="BO56" s="270">
        <v>0</v>
      </c>
      <c r="BP56" s="266" t="e">
        <f>#REF!/#REF!-1</f>
        <v>#REF!</v>
      </c>
    </row>
    <row r="57" spans="1:68" s="88" customFormat="1" ht="42.75" customHeight="1">
      <c r="A57" s="136" t="s">
        <v>126</v>
      </c>
      <c r="B57" s="115"/>
      <c r="C57" s="115"/>
      <c r="D57" s="116"/>
      <c r="E57" s="119"/>
      <c r="F57" s="116"/>
      <c r="G57" s="119"/>
      <c r="H57" s="117"/>
      <c r="I57" s="117"/>
      <c r="J57" s="117"/>
      <c r="K57" s="117"/>
      <c r="L57" s="163"/>
      <c r="M57" s="117"/>
      <c r="N57" s="117"/>
      <c r="O57" s="163"/>
      <c r="P57" s="163"/>
      <c r="Q57" s="177"/>
      <c r="R57" s="119"/>
      <c r="S57" s="177"/>
      <c r="T57" s="177"/>
      <c r="U57" s="177"/>
      <c r="V57" s="177"/>
      <c r="W57" s="178"/>
      <c r="X57" s="178"/>
      <c r="Y57" s="178"/>
      <c r="Z57" s="117"/>
      <c r="AA57" s="117"/>
      <c r="AB57" s="117">
        <v>0</v>
      </c>
      <c r="AC57" s="194"/>
      <c r="AD57" s="195"/>
      <c r="AE57" s="117">
        <v>0</v>
      </c>
      <c r="AF57" s="122">
        <v>55</v>
      </c>
      <c r="AG57" s="117">
        <v>0</v>
      </c>
      <c r="AH57" s="117">
        <v>0</v>
      </c>
      <c r="AI57" s="224" t="s">
        <v>127</v>
      </c>
      <c r="AJ57" s="229"/>
      <c r="AK57" s="229"/>
      <c r="AL57" s="119"/>
      <c r="AM57" s="119"/>
      <c r="AN57" s="119"/>
      <c r="AO57" s="242"/>
      <c r="AP57" s="117"/>
      <c r="AQ57" s="117"/>
      <c r="AR57" s="117"/>
      <c r="AS57" s="117"/>
      <c r="AT57" s="163"/>
      <c r="AU57" s="117"/>
      <c r="AV57" s="117"/>
      <c r="AW57" s="163"/>
      <c r="AX57" s="163"/>
      <c r="AY57" s="177"/>
      <c r="AZ57" s="177"/>
      <c r="BA57" s="177"/>
      <c r="BB57" s="177"/>
      <c r="BC57" s="177"/>
      <c r="BD57" s="177"/>
      <c r="BE57" s="117"/>
      <c r="BF57" s="117"/>
      <c r="BG57" s="117"/>
      <c r="BH57" s="117"/>
      <c r="BI57" s="117"/>
      <c r="BJ57" s="122">
        <v>36</v>
      </c>
      <c r="BK57" s="195"/>
      <c r="BL57" s="122">
        <v>55</v>
      </c>
      <c r="BM57" s="201">
        <v>55</v>
      </c>
      <c r="BN57" s="195">
        <f aca="true" t="shared" si="72" ref="BN57:BN60">BL57/BJ57</f>
        <v>1.5277777777777777</v>
      </c>
      <c r="BO57" s="272">
        <f>BM57/BL57-1</f>
        <v>0</v>
      </c>
      <c r="BP57" s="266"/>
    </row>
    <row r="58" spans="1:68" s="88" customFormat="1" ht="33.75" customHeight="1">
      <c r="A58" s="148" t="s">
        <v>128</v>
      </c>
      <c r="B58" s="149"/>
      <c r="C58" s="149"/>
      <c r="D58" s="150"/>
      <c r="E58" s="151"/>
      <c r="F58" s="150"/>
      <c r="G58" s="151"/>
      <c r="H58" s="152"/>
      <c r="I58" s="152"/>
      <c r="J58" s="152"/>
      <c r="K58" s="152"/>
      <c r="L58" s="167"/>
      <c r="M58" s="152"/>
      <c r="N58" s="152"/>
      <c r="O58" s="167"/>
      <c r="P58" s="167"/>
      <c r="Q58" s="179"/>
      <c r="R58" s="151"/>
      <c r="S58" s="179"/>
      <c r="T58" s="179"/>
      <c r="U58" s="179"/>
      <c r="V58" s="179"/>
      <c r="W58" s="180"/>
      <c r="X58" s="180"/>
      <c r="Y58" s="180"/>
      <c r="Z58" s="152"/>
      <c r="AA58" s="152"/>
      <c r="AB58" s="142">
        <f aca="true" t="shared" si="73" ref="AB58:AF58">AB54+AB57</f>
        <v>4055</v>
      </c>
      <c r="AC58" s="205"/>
      <c r="AD58" s="206"/>
      <c r="AE58" s="142">
        <f t="shared" si="73"/>
        <v>4086.81</v>
      </c>
      <c r="AF58" s="142">
        <f t="shared" si="73"/>
        <v>4091</v>
      </c>
      <c r="AG58" s="195">
        <f>AE58/AB58</f>
        <v>1.0078446362515412</v>
      </c>
      <c r="AH58" s="195">
        <f>AF58/AE58-1</f>
        <v>0.0010252495222435876</v>
      </c>
      <c r="AI58" s="233" t="s">
        <v>129</v>
      </c>
      <c r="AJ58" s="234"/>
      <c r="AK58" s="234"/>
      <c r="AL58" s="141"/>
      <c r="AM58" s="141"/>
      <c r="AN58" s="141"/>
      <c r="AO58" s="141"/>
      <c r="AP58" s="142"/>
      <c r="AQ58" s="142"/>
      <c r="AR58" s="142"/>
      <c r="AS58" s="142"/>
      <c r="AT58" s="166"/>
      <c r="AU58" s="142"/>
      <c r="AV58" s="142"/>
      <c r="AW58" s="166"/>
      <c r="AX58" s="166"/>
      <c r="AY58" s="151"/>
      <c r="AZ58" s="151"/>
      <c r="BA58" s="151"/>
      <c r="BB58" s="151"/>
      <c r="BC58" s="253"/>
      <c r="BD58" s="253"/>
      <c r="BE58" s="142"/>
      <c r="BF58" s="142"/>
      <c r="BG58" s="151"/>
      <c r="BH58" s="142"/>
      <c r="BI58" s="142"/>
      <c r="BJ58" s="142">
        <f aca="true" t="shared" si="74" ref="BJ58:BM58">BJ54+BJ57</f>
        <v>4055</v>
      </c>
      <c r="BK58" s="206"/>
      <c r="BL58" s="142">
        <f t="shared" si="74"/>
        <v>4086.81</v>
      </c>
      <c r="BM58" s="142">
        <f t="shared" si="74"/>
        <v>4091</v>
      </c>
      <c r="BN58" s="195">
        <f t="shared" si="72"/>
        <v>1.0078446362515412</v>
      </c>
      <c r="BO58" s="272">
        <f>BM58/BL58-1</f>
        <v>0.0010252495222435876</v>
      </c>
      <c r="BP58" s="266"/>
    </row>
    <row r="59" spans="1:68" s="88" customFormat="1" ht="21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202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275"/>
      <c r="BP59" s="271"/>
    </row>
    <row r="60" spans="1:68" s="88" customFormat="1" ht="33.75" customHeight="1">
      <c r="A60" s="153" t="s">
        <v>130</v>
      </c>
      <c r="B60" s="154"/>
      <c r="C60" s="154"/>
      <c r="D60" s="154"/>
      <c r="E60" s="154"/>
      <c r="F60" s="154"/>
      <c r="G60" s="154"/>
      <c r="H60" s="155"/>
      <c r="I60" s="155"/>
      <c r="J60" s="155"/>
      <c r="K60" s="168"/>
      <c r="L60" s="154"/>
      <c r="M60" s="169" t="e">
        <f>#REF!/#REF!</f>
        <v>#REF!</v>
      </c>
      <c r="N60" s="169"/>
      <c r="O60" s="154"/>
      <c r="P60" s="154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207">
        <f aca="true" t="shared" si="75" ref="AB60:AF60">AB58+AB52+AB36</f>
        <v>62188.80999999999</v>
      </c>
      <c r="AC60" s="207"/>
      <c r="AD60" s="207"/>
      <c r="AE60" s="207">
        <f t="shared" si="75"/>
        <v>65340.47</v>
      </c>
      <c r="AF60" s="208">
        <f t="shared" si="75"/>
        <v>62379.479999999996</v>
      </c>
      <c r="AG60" s="235">
        <f>AE60/AB60</f>
        <v>1.0506788922315768</v>
      </c>
      <c r="AH60" s="235">
        <f>AF60/AE60-1</f>
        <v>-0.04531632539527197</v>
      </c>
      <c r="AI60" s="236" t="s">
        <v>131</v>
      </c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47"/>
      <c r="AV60" s="247"/>
      <c r="AW60" s="237"/>
      <c r="AX60" s="237"/>
      <c r="AY60" s="254"/>
      <c r="AZ60" s="254"/>
      <c r="BA60" s="254"/>
      <c r="BB60" s="255"/>
      <c r="BC60" s="255"/>
      <c r="BD60" s="255"/>
      <c r="BE60" s="255"/>
      <c r="BF60" s="255"/>
      <c r="BG60" s="255"/>
      <c r="BH60" s="255"/>
      <c r="BI60" s="255"/>
      <c r="BJ60" s="207">
        <f aca="true" t="shared" si="76" ref="BJ60:BM60">BJ58+BJ52+BJ36</f>
        <v>62188.81000000001</v>
      </c>
      <c r="BK60" s="247"/>
      <c r="BL60" s="207">
        <f t="shared" si="76"/>
        <v>65340.47</v>
      </c>
      <c r="BM60" s="207">
        <f t="shared" si="76"/>
        <v>62379.479999999996</v>
      </c>
      <c r="BN60" s="235">
        <f t="shared" si="72"/>
        <v>1.0506788922315766</v>
      </c>
      <c r="BO60" s="276">
        <f>BM60/BL60-1</f>
        <v>-0.04531632539527197</v>
      </c>
      <c r="BP60" s="271">
        <v>0</v>
      </c>
    </row>
    <row r="61" spans="1:68" s="88" customFormat="1" ht="33.75" customHeight="1">
      <c r="A61" s="156"/>
      <c r="B61" s="91"/>
      <c r="C61" s="91"/>
      <c r="D61" s="91"/>
      <c r="E61" s="91"/>
      <c r="F61" s="91"/>
      <c r="G61" s="91"/>
      <c r="H61" s="157"/>
      <c r="I61" s="157"/>
      <c r="J61" s="157"/>
      <c r="K61" s="170"/>
      <c r="L61" s="91"/>
      <c r="M61" s="171"/>
      <c r="N61" s="171"/>
      <c r="O61" s="91"/>
      <c r="P61" s="91"/>
      <c r="Q61" s="176"/>
      <c r="R61" s="183"/>
      <c r="S61" s="176"/>
      <c r="T61" s="184"/>
      <c r="U61" s="176" t="e">
        <f>#REF!/#REF!</f>
        <v>#REF!</v>
      </c>
      <c r="V61" s="176" t="e">
        <f>(#REF!-#REF!)/#REF!</f>
        <v>#REF!</v>
      </c>
      <c r="W61" s="185"/>
      <c r="X61" s="185"/>
      <c r="Y61" s="209"/>
      <c r="Z61" s="209"/>
      <c r="AA61" s="209"/>
      <c r="AB61" s="209"/>
      <c r="AC61" s="210"/>
      <c r="AD61" s="211"/>
      <c r="AE61" s="212"/>
      <c r="AF61" s="213"/>
      <c r="AG61" s="212"/>
      <c r="AH61" s="212"/>
      <c r="AI61" s="156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48"/>
      <c r="AV61" s="248"/>
      <c r="AW61" s="238"/>
      <c r="AX61" s="238"/>
      <c r="AY61" s="256"/>
      <c r="AZ61" s="256"/>
      <c r="BA61" s="256"/>
      <c r="BB61" s="238"/>
      <c r="BC61" s="256"/>
      <c r="BD61" s="256"/>
      <c r="BE61" s="256"/>
      <c r="BF61" s="256"/>
      <c r="BG61" s="256"/>
      <c r="BH61" s="256"/>
      <c r="BI61" s="256"/>
      <c r="BJ61" s="256"/>
      <c r="BK61" s="261"/>
      <c r="BL61" s="261"/>
      <c r="BM61" s="261"/>
      <c r="BN61" s="261"/>
      <c r="BO61" s="261"/>
      <c r="BP61" s="277" t="e">
        <f>BF46/BE46-1</f>
        <v>#DIV/0!</v>
      </c>
    </row>
    <row r="62" spans="1:68" s="88" customFormat="1" ht="33.75" customHeight="1">
      <c r="A62" s="156"/>
      <c r="B62" s="91"/>
      <c r="C62" s="91"/>
      <c r="D62" s="91"/>
      <c r="E62" s="91"/>
      <c r="F62" s="91"/>
      <c r="G62" s="91"/>
      <c r="H62" s="157"/>
      <c r="I62" s="157"/>
      <c r="J62" s="157"/>
      <c r="K62" s="172"/>
      <c r="L62" s="91"/>
      <c r="M62" s="171"/>
      <c r="N62" s="171"/>
      <c r="O62" s="91"/>
      <c r="P62" s="91"/>
      <c r="Q62" s="177"/>
      <c r="R62" s="186"/>
      <c r="S62" s="177"/>
      <c r="T62" s="125"/>
      <c r="U62" s="187"/>
      <c r="V62" s="187"/>
      <c r="W62" s="187"/>
      <c r="X62" s="187"/>
      <c r="Y62" s="187"/>
      <c r="Z62" s="187"/>
      <c r="AA62" s="187"/>
      <c r="AB62" s="187"/>
      <c r="AC62" s="214"/>
      <c r="AD62" s="215"/>
      <c r="AE62" s="215"/>
      <c r="AF62" s="216"/>
      <c r="AG62" s="215"/>
      <c r="AH62" s="215"/>
      <c r="AI62" s="92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49"/>
      <c r="AV62" s="249"/>
      <c r="AW62" s="239"/>
      <c r="AX62" s="239"/>
      <c r="AY62" s="256"/>
      <c r="AZ62" s="256"/>
      <c r="BA62" s="256"/>
      <c r="BB62" s="238"/>
      <c r="BC62" s="256"/>
      <c r="BD62" s="256"/>
      <c r="BE62" s="256"/>
      <c r="BF62" s="256"/>
      <c r="BG62" s="256"/>
      <c r="BH62" s="256"/>
      <c r="BI62" s="256"/>
      <c r="BJ62" s="256"/>
      <c r="BK62" s="261"/>
      <c r="BL62" s="261"/>
      <c r="BM62" s="261"/>
      <c r="BN62" s="261"/>
      <c r="BO62" s="261"/>
      <c r="BP62" s="277"/>
    </row>
    <row r="63" spans="1:68" s="88" customFormat="1" ht="33.75" customHeight="1">
      <c r="A63" s="156"/>
      <c r="B63" s="91"/>
      <c r="C63" s="91"/>
      <c r="D63" s="91"/>
      <c r="E63" s="91"/>
      <c r="F63" s="91"/>
      <c r="G63" s="91"/>
      <c r="H63" s="157"/>
      <c r="I63" s="157"/>
      <c r="J63" s="157"/>
      <c r="K63" s="172"/>
      <c r="L63" s="91"/>
      <c r="M63" s="171"/>
      <c r="N63" s="171"/>
      <c r="O63" s="91"/>
      <c r="P63" s="91"/>
      <c r="Q63" s="177" t="e">
        <f>(#REF!-#REF!)/#REF!</f>
        <v>#REF!</v>
      </c>
      <c r="R63" s="188" t="e">
        <f>#REF!/#REF!</f>
        <v>#REF!</v>
      </c>
      <c r="S63" s="177" t="e">
        <f>(#REF!-#REF!)/#REF!</f>
        <v>#REF!</v>
      </c>
      <c r="T63" s="177"/>
      <c r="U63" s="187"/>
      <c r="V63" s="187"/>
      <c r="W63" s="187"/>
      <c r="X63" s="187"/>
      <c r="Y63" s="187"/>
      <c r="Z63" s="187"/>
      <c r="AA63" s="187"/>
      <c r="AB63" s="187"/>
      <c r="AC63" s="214"/>
      <c r="AD63" s="215"/>
      <c r="AE63" s="215"/>
      <c r="AF63" s="216"/>
      <c r="AG63" s="215"/>
      <c r="AH63" s="215"/>
      <c r="AI63" s="92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49"/>
      <c r="AV63" s="249"/>
      <c r="AW63" s="239"/>
      <c r="AX63" s="239"/>
      <c r="AY63" s="256"/>
      <c r="AZ63" s="256"/>
      <c r="BA63" s="256"/>
      <c r="BB63" s="238"/>
      <c r="BC63" s="256"/>
      <c r="BD63" s="256"/>
      <c r="BE63" s="256"/>
      <c r="BF63" s="256"/>
      <c r="BG63" s="256"/>
      <c r="BH63" s="256"/>
      <c r="BI63" s="256"/>
      <c r="BJ63" s="256"/>
      <c r="BK63" s="261"/>
      <c r="BL63" s="261"/>
      <c r="BM63" s="261"/>
      <c r="BN63" s="261"/>
      <c r="BO63" s="261"/>
      <c r="BP63" s="277"/>
    </row>
    <row r="64" spans="1:68" s="88" customFormat="1" ht="33.75" customHeight="1">
      <c r="A64" s="156"/>
      <c r="B64" s="91"/>
      <c r="C64" s="91"/>
      <c r="D64" s="91"/>
      <c r="E64" s="91"/>
      <c r="F64" s="91"/>
      <c r="G64" s="91"/>
      <c r="H64" s="157"/>
      <c r="I64" s="157"/>
      <c r="J64" s="157"/>
      <c r="K64" s="157"/>
      <c r="L64" s="91"/>
      <c r="M64" s="171"/>
      <c r="N64" s="171"/>
      <c r="O64" s="91"/>
      <c r="P64" s="91"/>
      <c r="Q64" s="187"/>
      <c r="R64" s="187"/>
      <c r="S64" s="187"/>
      <c r="T64" s="177" t="e">
        <f>(#REF!-#REF!)/#REF!</f>
        <v>#REF!</v>
      </c>
      <c r="U64" s="187"/>
      <c r="V64" s="187"/>
      <c r="W64" s="187"/>
      <c r="X64" s="187"/>
      <c r="Y64" s="187"/>
      <c r="Z64" s="187"/>
      <c r="AA64" s="187"/>
      <c r="AB64" s="187"/>
      <c r="AC64" s="214"/>
      <c r="AD64" s="215"/>
      <c r="AE64" s="215"/>
      <c r="AF64" s="216"/>
      <c r="AG64" s="215"/>
      <c r="AH64" s="215"/>
      <c r="AI64" s="92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49"/>
      <c r="AV64" s="249"/>
      <c r="AW64" s="239"/>
      <c r="AX64" s="239"/>
      <c r="AY64" s="256"/>
      <c r="AZ64" s="256"/>
      <c r="BA64" s="256"/>
      <c r="BB64" s="238"/>
      <c r="BC64" s="256"/>
      <c r="BD64" s="256"/>
      <c r="BE64" s="256"/>
      <c r="BF64" s="256"/>
      <c r="BG64" s="256"/>
      <c r="BH64" s="256"/>
      <c r="BI64" s="256"/>
      <c r="BJ64" s="256"/>
      <c r="BK64" s="261"/>
      <c r="BL64" s="261"/>
      <c r="BM64" s="261"/>
      <c r="BN64" s="261"/>
      <c r="BO64" s="261"/>
      <c r="BP64" s="277"/>
    </row>
    <row r="65" spans="1:68" s="88" customFormat="1" ht="33.75" customHeight="1">
      <c r="A65" s="156"/>
      <c r="B65" s="91"/>
      <c r="C65" s="91"/>
      <c r="D65" s="91"/>
      <c r="E65" s="91"/>
      <c r="F65" s="91"/>
      <c r="G65" s="91"/>
      <c r="H65" s="157"/>
      <c r="I65" s="157"/>
      <c r="J65" s="157"/>
      <c r="K65" s="157"/>
      <c r="L65" s="91"/>
      <c r="M65" s="171"/>
      <c r="N65" s="171"/>
      <c r="O65" s="91"/>
      <c r="P65" s="91"/>
      <c r="Q65" s="187"/>
      <c r="R65" s="187"/>
      <c r="S65" s="187"/>
      <c r="T65" s="91"/>
      <c r="U65" s="187"/>
      <c r="V65" s="187"/>
      <c r="W65" s="187"/>
      <c r="X65" s="187"/>
      <c r="Y65" s="187"/>
      <c r="Z65" s="187"/>
      <c r="AA65" s="187"/>
      <c r="AB65" s="187"/>
      <c r="AC65" s="214"/>
      <c r="AD65" s="215"/>
      <c r="AE65" s="215"/>
      <c r="AF65" s="216"/>
      <c r="AG65" s="215"/>
      <c r="AH65" s="215"/>
      <c r="AI65" s="92"/>
      <c r="AJ65" s="239"/>
      <c r="AK65" s="239"/>
      <c r="AL65" s="239"/>
      <c r="AM65" s="239"/>
      <c r="AN65" s="239"/>
      <c r="AO65" s="239"/>
      <c r="AP65" s="239"/>
      <c r="AQ65" s="239"/>
      <c r="AR65" s="239"/>
      <c r="AS65" s="239"/>
      <c r="AT65" s="239"/>
      <c r="AU65" s="249"/>
      <c r="AV65" s="249"/>
      <c r="AW65" s="239"/>
      <c r="AX65" s="239"/>
      <c r="AY65" s="256"/>
      <c r="AZ65" s="256"/>
      <c r="BA65" s="256"/>
      <c r="BB65" s="238"/>
      <c r="BC65" s="256"/>
      <c r="BD65" s="256"/>
      <c r="BE65" s="256"/>
      <c r="BF65" s="256"/>
      <c r="BG65" s="256"/>
      <c r="BH65" s="256"/>
      <c r="BI65" s="256"/>
      <c r="BJ65" s="256"/>
      <c r="BK65" s="261"/>
      <c r="BL65" s="261"/>
      <c r="BM65" s="261"/>
      <c r="BN65" s="261"/>
      <c r="BO65" s="261"/>
      <c r="BP65" s="277"/>
    </row>
    <row r="66" spans="1:68" s="88" customFormat="1" ht="33.75" customHeight="1">
      <c r="A66" s="156"/>
      <c r="B66" s="91"/>
      <c r="C66" s="91"/>
      <c r="D66" s="91"/>
      <c r="E66" s="91"/>
      <c r="F66" s="91"/>
      <c r="G66" s="91"/>
      <c r="H66" s="157"/>
      <c r="I66" s="157"/>
      <c r="J66" s="157"/>
      <c r="K66" s="157"/>
      <c r="L66" s="91"/>
      <c r="M66" s="171"/>
      <c r="N66" s="171"/>
      <c r="O66" s="91"/>
      <c r="P66" s="91"/>
      <c r="Q66" s="187"/>
      <c r="R66" s="187"/>
      <c r="S66" s="187"/>
      <c r="T66" s="91"/>
      <c r="U66" s="187"/>
      <c r="V66" s="187"/>
      <c r="W66" s="187"/>
      <c r="X66" s="187"/>
      <c r="Y66" s="187"/>
      <c r="Z66" s="187"/>
      <c r="AA66" s="187"/>
      <c r="AB66" s="187"/>
      <c r="AC66" s="214"/>
      <c r="AD66" s="215"/>
      <c r="AE66" s="215"/>
      <c r="AF66" s="216"/>
      <c r="AG66" s="215"/>
      <c r="AH66" s="215"/>
      <c r="AI66" s="92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49"/>
      <c r="AV66" s="249"/>
      <c r="AW66" s="239"/>
      <c r="AX66" s="239"/>
      <c r="AY66" s="256"/>
      <c r="AZ66" s="256"/>
      <c r="BA66" s="256"/>
      <c r="BB66" s="238"/>
      <c r="BC66" s="256"/>
      <c r="BD66" s="256"/>
      <c r="BE66" s="256"/>
      <c r="BF66" s="256"/>
      <c r="BG66" s="256"/>
      <c r="BH66" s="256"/>
      <c r="BI66" s="256"/>
      <c r="BJ66" s="256"/>
      <c r="BK66" s="261"/>
      <c r="BL66" s="261"/>
      <c r="BM66" s="261"/>
      <c r="BN66" s="261"/>
      <c r="BO66" s="261"/>
      <c r="BP66" s="277"/>
    </row>
    <row r="67" spans="1:68" s="88" customFormat="1" ht="33.75" customHeight="1">
      <c r="A67" s="156"/>
      <c r="B67" s="91"/>
      <c r="C67" s="91"/>
      <c r="D67" s="91"/>
      <c r="E67" s="91"/>
      <c r="F67" s="91"/>
      <c r="G67" s="91"/>
      <c r="H67" s="157"/>
      <c r="I67" s="157"/>
      <c r="J67" s="157"/>
      <c r="K67" s="157"/>
      <c r="L67" s="91"/>
      <c r="M67" s="171"/>
      <c r="N67" s="171"/>
      <c r="O67" s="91"/>
      <c r="P67" s="91"/>
      <c r="Q67" s="187"/>
      <c r="R67" s="187"/>
      <c r="S67" s="187"/>
      <c r="T67" s="91"/>
      <c r="U67" s="187"/>
      <c r="V67" s="187"/>
      <c r="W67" s="187"/>
      <c r="X67" s="187"/>
      <c r="Y67" s="187"/>
      <c r="Z67" s="187"/>
      <c r="AA67" s="187"/>
      <c r="AB67" s="187"/>
      <c r="AC67" s="214"/>
      <c r="AD67" s="215"/>
      <c r="AE67" s="215"/>
      <c r="AF67" s="216"/>
      <c r="AG67" s="215"/>
      <c r="AH67" s="215"/>
      <c r="AI67" s="92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49"/>
      <c r="AV67" s="249"/>
      <c r="AW67" s="239"/>
      <c r="AX67" s="239"/>
      <c r="AY67" s="281"/>
      <c r="AZ67" s="281"/>
      <c r="BA67" s="281"/>
      <c r="BB67" s="238"/>
      <c r="BC67" s="256"/>
      <c r="BD67" s="256"/>
      <c r="BE67" s="256"/>
      <c r="BF67" s="256"/>
      <c r="BG67" s="256"/>
      <c r="BH67" s="256"/>
      <c r="BI67" s="256"/>
      <c r="BJ67" s="256"/>
      <c r="BK67" s="261"/>
      <c r="BL67" s="261"/>
      <c r="BM67" s="261"/>
      <c r="BN67" s="261"/>
      <c r="BO67" s="261"/>
      <c r="BP67" s="277"/>
    </row>
    <row r="68" spans="1:68" s="88" customFormat="1" ht="33.75" customHeight="1">
      <c r="A68" s="156"/>
      <c r="B68" s="91"/>
      <c r="C68" s="91"/>
      <c r="D68" s="91"/>
      <c r="E68" s="91"/>
      <c r="F68" s="91"/>
      <c r="G68" s="91"/>
      <c r="H68" s="157"/>
      <c r="I68" s="157"/>
      <c r="J68" s="157"/>
      <c r="K68" s="157"/>
      <c r="L68" s="91"/>
      <c r="M68" s="171"/>
      <c r="N68" s="171"/>
      <c r="O68" s="91"/>
      <c r="P68" s="91"/>
      <c r="Q68" s="187"/>
      <c r="R68" s="187"/>
      <c r="S68" s="187"/>
      <c r="T68" s="91"/>
      <c r="U68" s="187"/>
      <c r="V68" s="187"/>
      <c r="W68" s="187"/>
      <c r="X68" s="187"/>
      <c r="Y68" s="187"/>
      <c r="Z68" s="187"/>
      <c r="AA68" s="187"/>
      <c r="AB68" s="187"/>
      <c r="AC68" s="214"/>
      <c r="AD68" s="215"/>
      <c r="AE68" s="215"/>
      <c r="AF68" s="216"/>
      <c r="AG68" s="215"/>
      <c r="AH68" s="215"/>
      <c r="AI68" s="92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49"/>
      <c r="AV68" s="249"/>
      <c r="AW68" s="239"/>
      <c r="AX68" s="239"/>
      <c r="AY68" s="281"/>
      <c r="AZ68" s="281"/>
      <c r="BA68" s="281"/>
      <c r="BB68" s="239"/>
      <c r="BC68" s="281"/>
      <c r="BD68" s="281"/>
      <c r="BE68" s="281"/>
      <c r="BF68" s="281"/>
      <c r="BG68" s="281"/>
      <c r="BH68" s="281"/>
      <c r="BI68" s="281"/>
      <c r="BJ68" s="281"/>
      <c r="BK68" s="282"/>
      <c r="BL68" s="282"/>
      <c r="BM68" s="282"/>
      <c r="BN68" s="282"/>
      <c r="BO68" s="282"/>
      <c r="BP68" s="277"/>
    </row>
    <row r="69" spans="1:68" s="88" customFormat="1" ht="33.75" customHeight="1">
      <c r="A69" s="156"/>
      <c r="B69" s="91"/>
      <c r="C69" s="91"/>
      <c r="D69" s="91"/>
      <c r="E69" s="91"/>
      <c r="F69" s="91"/>
      <c r="G69" s="91"/>
      <c r="H69" s="157"/>
      <c r="I69" s="157"/>
      <c r="J69" s="157"/>
      <c r="K69" s="157"/>
      <c r="L69" s="91"/>
      <c r="M69" s="171"/>
      <c r="N69" s="171"/>
      <c r="O69" s="91"/>
      <c r="P69" s="91"/>
      <c r="Q69" s="187"/>
      <c r="R69" s="187"/>
      <c r="S69" s="187"/>
      <c r="T69" s="91"/>
      <c r="U69" s="187"/>
      <c r="V69" s="187"/>
      <c r="W69" s="187"/>
      <c r="X69" s="187"/>
      <c r="Y69" s="187"/>
      <c r="Z69" s="187"/>
      <c r="AA69" s="187"/>
      <c r="AB69" s="187"/>
      <c r="AC69" s="214"/>
      <c r="AD69" s="215"/>
      <c r="AE69" s="215"/>
      <c r="AF69" s="216"/>
      <c r="AG69" s="215"/>
      <c r="AH69" s="215"/>
      <c r="AI69" s="92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49"/>
      <c r="AV69" s="249"/>
      <c r="AW69" s="239"/>
      <c r="AX69" s="239"/>
      <c r="AY69" s="281"/>
      <c r="AZ69" s="281"/>
      <c r="BA69" s="281"/>
      <c r="BB69" s="239"/>
      <c r="BC69" s="281"/>
      <c r="BD69" s="281"/>
      <c r="BE69" s="281"/>
      <c r="BF69" s="281"/>
      <c r="BG69" s="281"/>
      <c r="BH69" s="281"/>
      <c r="BI69" s="281"/>
      <c r="BJ69" s="281"/>
      <c r="BK69" s="282"/>
      <c r="BL69" s="282"/>
      <c r="BM69" s="282"/>
      <c r="BN69" s="282"/>
      <c r="BO69" s="282"/>
      <c r="BP69" s="277"/>
    </row>
    <row r="70" spans="1:68" s="88" customFormat="1" ht="33.75" customHeight="1">
      <c r="A70" s="156"/>
      <c r="B70" s="91"/>
      <c r="C70" s="91"/>
      <c r="D70" s="91"/>
      <c r="E70" s="91"/>
      <c r="F70" s="91"/>
      <c r="G70" s="91"/>
      <c r="H70" s="157"/>
      <c r="I70" s="157"/>
      <c r="J70" s="157"/>
      <c r="K70" s="157"/>
      <c r="L70" s="91"/>
      <c r="M70" s="171"/>
      <c r="N70" s="171"/>
      <c r="O70" s="91"/>
      <c r="P70" s="91"/>
      <c r="Q70" s="187"/>
      <c r="R70" s="187"/>
      <c r="S70" s="187"/>
      <c r="T70" s="91"/>
      <c r="U70" s="187"/>
      <c r="V70" s="187"/>
      <c r="W70" s="187"/>
      <c r="X70" s="187"/>
      <c r="Y70" s="187"/>
      <c r="Z70" s="187"/>
      <c r="AA70" s="187"/>
      <c r="AB70" s="187"/>
      <c r="AC70" s="214"/>
      <c r="AD70" s="215"/>
      <c r="AE70" s="215"/>
      <c r="AF70" s="216"/>
      <c r="AG70" s="215"/>
      <c r="AH70" s="215"/>
      <c r="AI70" s="92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49"/>
      <c r="AV70" s="249"/>
      <c r="AW70" s="239"/>
      <c r="AX70" s="239"/>
      <c r="AY70" s="281"/>
      <c r="AZ70" s="281"/>
      <c r="BA70" s="281"/>
      <c r="BB70" s="239"/>
      <c r="BC70" s="281"/>
      <c r="BD70" s="281"/>
      <c r="BE70" s="281"/>
      <c r="BF70" s="281"/>
      <c r="BG70" s="281"/>
      <c r="BH70" s="281"/>
      <c r="BI70" s="281"/>
      <c r="BJ70" s="281"/>
      <c r="BK70" s="282"/>
      <c r="BL70" s="282"/>
      <c r="BM70" s="282"/>
      <c r="BN70" s="282"/>
      <c r="BO70" s="282"/>
      <c r="BP70" s="277" t="e">
        <f>#REF!/#REF!-1</f>
        <v>#REF!</v>
      </c>
    </row>
    <row r="71" spans="1:68" s="88" customFormat="1" ht="33.75" customHeight="1">
      <c r="A71" s="156"/>
      <c r="B71" s="91"/>
      <c r="C71" s="91"/>
      <c r="D71" s="91"/>
      <c r="E71" s="91"/>
      <c r="F71" s="91"/>
      <c r="G71" s="91"/>
      <c r="H71" s="157"/>
      <c r="I71" s="157"/>
      <c r="J71" s="157"/>
      <c r="K71" s="157"/>
      <c r="L71" s="91"/>
      <c r="M71" s="171"/>
      <c r="N71" s="171"/>
      <c r="O71" s="91"/>
      <c r="P71" s="91"/>
      <c r="Q71" s="187"/>
      <c r="R71" s="187"/>
      <c r="S71" s="187"/>
      <c r="T71" s="91"/>
      <c r="U71" s="187"/>
      <c r="V71" s="187"/>
      <c r="W71" s="187"/>
      <c r="X71" s="187"/>
      <c r="Y71" s="187"/>
      <c r="Z71" s="187"/>
      <c r="AA71" s="187"/>
      <c r="AB71" s="187"/>
      <c r="AC71" s="214"/>
      <c r="AD71" s="215"/>
      <c r="AE71" s="215"/>
      <c r="AF71" s="216"/>
      <c r="AG71" s="215"/>
      <c r="AH71" s="215"/>
      <c r="AI71" s="92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49"/>
      <c r="AV71" s="249"/>
      <c r="AW71" s="239"/>
      <c r="AX71" s="239"/>
      <c r="AY71" s="281"/>
      <c r="AZ71" s="281"/>
      <c r="BA71" s="281"/>
      <c r="BB71" s="239"/>
      <c r="BC71" s="281"/>
      <c r="BD71" s="281"/>
      <c r="BE71" s="281"/>
      <c r="BF71" s="281"/>
      <c r="BG71" s="281"/>
      <c r="BH71" s="281"/>
      <c r="BI71" s="281"/>
      <c r="BJ71" s="281"/>
      <c r="BK71" s="282"/>
      <c r="BL71" s="282"/>
      <c r="BM71" s="282"/>
      <c r="BN71" s="282"/>
      <c r="BO71" s="282"/>
      <c r="BP71" s="277" t="e">
        <f>BF47/BE47-1</f>
        <v>#DIV/0!</v>
      </c>
    </row>
    <row r="72" spans="1:68" s="88" customFormat="1" ht="33.75" customHeight="1">
      <c r="A72" s="156"/>
      <c r="B72" s="91"/>
      <c r="C72" s="91"/>
      <c r="D72" s="91"/>
      <c r="E72" s="91"/>
      <c r="F72" s="91"/>
      <c r="G72" s="91"/>
      <c r="H72" s="157"/>
      <c r="I72" s="157"/>
      <c r="J72" s="157"/>
      <c r="K72" s="157"/>
      <c r="L72" s="91"/>
      <c r="M72" s="171"/>
      <c r="N72" s="171"/>
      <c r="O72" s="91"/>
      <c r="P72" s="91"/>
      <c r="Q72" s="187"/>
      <c r="R72" s="187"/>
      <c r="S72" s="187"/>
      <c r="T72" s="91"/>
      <c r="U72" s="187"/>
      <c r="V72" s="187"/>
      <c r="W72" s="187"/>
      <c r="X72" s="187"/>
      <c r="Y72" s="187"/>
      <c r="Z72" s="187"/>
      <c r="AA72" s="187"/>
      <c r="AB72" s="187"/>
      <c r="AC72" s="214"/>
      <c r="AD72" s="215"/>
      <c r="AE72" s="215"/>
      <c r="AF72" s="216"/>
      <c r="AG72" s="215"/>
      <c r="AH72" s="215"/>
      <c r="AI72" s="92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49"/>
      <c r="AV72" s="249"/>
      <c r="AW72" s="239"/>
      <c r="AX72" s="239"/>
      <c r="AY72" s="281"/>
      <c r="AZ72" s="281"/>
      <c r="BA72" s="281"/>
      <c r="BB72" s="239"/>
      <c r="BC72" s="281"/>
      <c r="BD72" s="281"/>
      <c r="BE72" s="281"/>
      <c r="BF72" s="281"/>
      <c r="BG72" s="281"/>
      <c r="BH72" s="281"/>
      <c r="BI72" s="281"/>
      <c r="BJ72" s="281"/>
      <c r="BK72" s="282"/>
      <c r="BL72" s="282"/>
      <c r="BM72" s="282"/>
      <c r="BN72" s="282"/>
      <c r="BO72" s="282"/>
      <c r="BP72" s="277" t="e">
        <f>#REF!/#REF!-1</f>
        <v>#REF!</v>
      </c>
    </row>
    <row r="73" spans="1:68" s="88" customFormat="1" ht="33.75" customHeight="1">
      <c r="A73" s="92"/>
      <c r="B73" s="93"/>
      <c r="C73" s="93"/>
      <c r="D73" s="93"/>
      <c r="E73" s="93"/>
      <c r="F73" s="93"/>
      <c r="G73" s="93"/>
      <c r="H73" s="94"/>
      <c r="I73" s="94"/>
      <c r="J73" s="94"/>
      <c r="K73" s="94"/>
      <c r="L73" s="93"/>
      <c r="M73" s="95"/>
      <c r="N73" s="95"/>
      <c r="O73" s="93"/>
      <c r="P73" s="93"/>
      <c r="Q73" s="187"/>
      <c r="R73" s="187"/>
      <c r="S73" s="187"/>
      <c r="T73" s="91"/>
      <c r="U73" s="187"/>
      <c r="V73" s="187"/>
      <c r="W73" s="187"/>
      <c r="X73" s="187"/>
      <c r="Y73" s="187"/>
      <c r="Z73" s="187"/>
      <c r="AA73" s="187"/>
      <c r="AB73" s="187"/>
      <c r="AC73" s="214"/>
      <c r="AD73" s="215"/>
      <c r="AE73" s="215"/>
      <c r="AF73" s="216"/>
      <c r="AG73" s="215"/>
      <c r="AH73" s="215"/>
      <c r="AI73" s="92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49"/>
      <c r="AV73" s="249"/>
      <c r="AW73" s="239"/>
      <c r="AX73" s="239"/>
      <c r="AY73" s="281"/>
      <c r="AZ73" s="281"/>
      <c r="BA73" s="281"/>
      <c r="BB73" s="239"/>
      <c r="BC73" s="281"/>
      <c r="BD73" s="281"/>
      <c r="BE73" s="281"/>
      <c r="BF73" s="281"/>
      <c r="BG73" s="281"/>
      <c r="BH73" s="281"/>
      <c r="BI73" s="281"/>
      <c r="BJ73" s="281"/>
      <c r="BK73" s="282"/>
      <c r="BL73" s="282"/>
      <c r="BM73" s="282"/>
      <c r="BN73" s="282"/>
      <c r="BO73" s="282"/>
      <c r="BP73" s="277"/>
    </row>
    <row r="74" spans="1:68" s="88" customFormat="1" ht="33.75" customHeight="1">
      <c r="A74" s="92"/>
      <c r="B74" s="93"/>
      <c r="C74" s="93"/>
      <c r="D74" s="93"/>
      <c r="E74" s="93"/>
      <c r="F74" s="93"/>
      <c r="G74" s="93"/>
      <c r="H74" s="94"/>
      <c r="I74" s="94"/>
      <c r="J74" s="94"/>
      <c r="K74" s="94"/>
      <c r="L74" s="93"/>
      <c r="M74" s="95"/>
      <c r="N74" s="95"/>
      <c r="O74" s="93"/>
      <c r="P74" s="93"/>
      <c r="Q74" s="187"/>
      <c r="R74" s="187"/>
      <c r="S74" s="187"/>
      <c r="T74" s="91"/>
      <c r="U74" s="187"/>
      <c r="V74" s="187"/>
      <c r="W74" s="187"/>
      <c r="X74" s="187"/>
      <c r="Y74" s="187"/>
      <c r="Z74" s="187"/>
      <c r="AA74" s="187"/>
      <c r="AB74" s="187"/>
      <c r="AC74" s="214"/>
      <c r="AD74" s="215"/>
      <c r="AE74" s="215"/>
      <c r="AF74" s="216"/>
      <c r="AG74" s="215"/>
      <c r="AH74" s="215"/>
      <c r="AI74" s="92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49"/>
      <c r="AV74" s="249"/>
      <c r="AW74" s="239"/>
      <c r="AX74" s="239"/>
      <c r="AY74" s="281"/>
      <c r="AZ74" s="281"/>
      <c r="BA74" s="281"/>
      <c r="BB74" s="239"/>
      <c r="BC74" s="281"/>
      <c r="BD74" s="281"/>
      <c r="BE74" s="281"/>
      <c r="BF74" s="281"/>
      <c r="BG74" s="281"/>
      <c r="BH74" s="281"/>
      <c r="BI74" s="281"/>
      <c r="BJ74" s="281"/>
      <c r="BK74" s="282"/>
      <c r="BL74" s="282"/>
      <c r="BM74" s="282"/>
      <c r="BN74" s="282"/>
      <c r="BO74" s="282"/>
      <c r="BP74" s="277"/>
    </row>
    <row r="75" spans="1:68" s="88" customFormat="1" ht="33.75" customHeight="1">
      <c r="A75" s="92"/>
      <c r="B75" s="93"/>
      <c r="C75" s="93"/>
      <c r="D75" s="93"/>
      <c r="E75" s="93"/>
      <c r="F75" s="93"/>
      <c r="G75" s="93"/>
      <c r="H75" s="94"/>
      <c r="I75" s="94"/>
      <c r="J75" s="94"/>
      <c r="K75" s="94"/>
      <c r="L75" s="93"/>
      <c r="M75" s="95"/>
      <c r="N75" s="95"/>
      <c r="O75" s="93"/>
      <c r="P75" s="93"/>
      <c r="Q75" s="187"/>
      <c r="R75" s="187"/>
      <c r="S75" s="187"/>
      <c r="T75" s="91"/>
      <c r="U75" s="187"/>
      <c r="V75" s="187"/>
      <c r="W75" s="187"/>
      <c r="X75" s="187"/>
      <c r="Y75" s="187"/>
      <c r="Z75" s="187"/>
      <c r="AA75" s="187"/>
      <c r="AB75" s="187"/>
      <c r="AC75" s="214"/>
      <c r="AD75" s="215"/>
      <c r="AE75" s="215"/>
      <c r="AF75" s="216"/>
      <c r="AG75" s="215"/>
      <c r="AH75" s="215"/>
      <c r="AI75" s="92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49"/>
      <c r="AV75" s="249"/>
      <c r="AW75" s="239"/>
      <c r="AX75" s="239"/>
      <c r="AY75" s="281"/>
      <c r="AZ75" s="281"/>
      <c r="BA75" s="281"/>
      <c r="BB75" s="239"/>
      <c r="BC75" s="281"/>
      <c r="BD75" s="281"/>
      <c r="BE75" s="281"/>
      <c r="BF75" s="281"/>
      <c r="BG75" s="281"/>
      <c r="BH75" s="281"/>
      <c r="BI75" s="281"/>
      <c r="BJ75" s="281"/>
      <c r="BK75" s="282"/>
      <c r="BL75" s="282"/>
      <c r="BM75" s="282"/>
      <c r="BN75" s="282"/>
      <c r="BO75" s="282"/>
      <c r="BP75" s="277"/>
    </row>
    <row r="76" spans="1:68" s="88" customFormat="1" ht="33.75" customHeight="1">
      <c r="A76" s="92"/>
      <c r="B76" s="93"/>
      <c r="C76" s="93"/>
      <c r="D76" s="93"/>
      <c r="E76" s="93"/>
      <c r="F76" s="93"/>
      <c r="G76" s="93"/>
      <c r="H76" s="94"/>
      <c r="I76" s="94"/>
      <c r="J76" s="94"/>
      <c r="K76" s="94"/>
      <c r="L76" s="93"/>
      <c r="M76" s="95"/>
      <c r="N76" s="95"/>
      <c r="O76" s="93"/>
      <c r="P76" s="93"/>
      <c r="Q76" s="187"/>
      <c r="R76" s="187"/>
      <c r="S76" s="187"/>
      <c r="T76" s="91"/>
      <c r="U76" s="96"/>
      <c r="V76" s="96"/>
      <c r="W76" s="96"/>
      <c r="X76" s="96"/>
      <c r="Y76" s="96"/>
      <c r="Z76" s="96"/>
      <c r="AA76" s="96"/>
      <c r="AB76" s="96"/>
      <c r="AC76" s="97"/>
      <c r="AD76" s="98"/>
      <c r="AE76" s="98"/>
      <c r="AF76" s="280"/>
      <c r="AG76" s="98"/>
      <c r="AH76" s="98"/>
      <c r="AI76" s="92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49"/>
      <c r="AV76" s="249"/>
      <c r="AW76" s="239"/>
      <c r="AX76" s="239"/>
      <c r="AY76" s="281"/>
      <c r="AZ76" s="281"/>
      <c r="BA76" s="281"/>
      <c r="BB76" s="239"/>
      <c r="BC76" s="281"/>
      <c r="BD76" s="281"/>
      <c r="BE76" s="281"/>
      <c r="BF76" s="281"/>
      <c r="BG76" s="281"/>
      <c r="BH76" s="281"/>
      <c r="BI76" s="281"/>
      <c r="BJ76" s="281"/>
      <c r="BK76" s="282"/>
      <c r="BL76" s="282"/>
      <c r="BM76" s="282"/>
      <c r="BN76" s="282"/>
      <c r="BO76" s="282"/>
      <c r="BP76" s="277"/>
    </row>
    <row r="77" spans="1:68" s="88" customFormat="1" ht="33.75" customHeight="1">
      <c r="A77" s="92"/>
      <c r="B77" s="93"/>
      <c r="C77" s="93"/>
      <c r="D77" s="93"/>
      <c r="E77" s="93"/>
      <c r="F77" s="93"/>
      <c r="G77" s="93"/>
      <c r="H77" s="94"/>
      <c r="I77" s="94"/>
      <c r="J77" s="94"/>
      <c r="K77" s="94"/>
      <c r="L77" s="93"/>
      <c r="M77" s="95"/>
      <c r="N77" s="95"/>
      <c r="O77" s="93"/>
      <c r="P77" s="93"/>
      <c r="Q77" s="187"/>
      <c r="R77" s="187"/>
      <c r="S77" s="187"/>
      <c r="T77" s="91"/>
      <c r="U77" s="96"/>
      <c r="V77" s="96"/>
      <c r="W77" s="96"/>
      <c r="X77" s="96"/>
      <c r="Y77" s="96"/>
      <c r="Z77" s="96"/>
      <c r="AA77" s="96"/>
      <c r="AB77" s="96"/>
      <c r="AC77" s="97"/>
      <c r="AD77" s="98"/>
      <c r="AE77" s="98"/>
      <c r="AF77" s="99"/>
      <c r="AG77" s="98"/>
      <c r="AH77" s="98"/>
      <c r="AI77" s="92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49"/>
      <c r="AV77" s="249"/>
      <c r="AW77" s="239"/>
      <c r="AX77" s="239"/>
      <c r="AY77" s="281"/>
      <c r="AZ77" s="281"/>
      <c r="BA77" s="281"/>
      <c r="BB77" s="239"/>
      <c r="BC77" s="281"/>
      <c r="BD77" s="281"/>
      <c r="BE77" s="281"/>
      <c r="BF77" s="281"/>
      <c r="BG77" s="281"/>
      <c r="BH77" s="281"/>
      <c r="BI77" s="281"/>
      <c r="BJ77" s="281"/>
      <c r="BK77" s="282"/>
      <c r="BL77" s="282"/>
      <c r="BM77" s="282"/>
      <c r="BN77" s="282"/>
      <c r="BO77" s="282"/>
      <c r="BP77" s="277"/>
    </row>
    <row r="78" spans="1:68" s="88" customFormat="1" ht="33.75" customHeight="1">
      <c r="A78" s="92"/>
      <c r="B78" s="93"/>
      <c r="C78" s="93"/>
      <c r="D78" s="93"/>
      <c r="E78" s="93"/>
      <c r="F78" s="93"/>
      <c r="G78" s="93"/>
      <c r="H78" s="94"/>
      <c r="I78" s="94"/>
      <c r="J78" s="94"/>
      <c r="K78" s="94"/>
      <c r="L78" s="93"/>
      <c r="M78" s="95"/>
      <c r="N78" s="95"/>
      <c r="O78" s="93"/>
      <c r="P78" s="93"/>
      <c r="Q78" s="96"/>
      <c r="R78" s="96"/>
      <c r="S78" s="96"/>
      <c r="T78" s="91"/>
      <c r="U78" s="96"/>
      <c r="V78" s="96"/>
      <c r="W78" s="96"/>
      <c r="X78" s="96"/>
      <c r="Y78" s="96"/>
      <c r="Z78" s="96"/>
      <c r="AA78" s="96"/>
      <c r="AB78" s="96"/>
      <c r="AC78" s="97"/>
      <c r="AD78" s="98"/>
      <c r="AE78" s="98"/>
      <c r="AF78" s="99"/>
      <c r="AG78" s="98"/>
      <c r="AH78" s="98"/>
      <c r="AI78" s="92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49"/>
      <c r="AV78" s="249"/>
      <c r="AW78" s="239"/>
      <c r="AX78" s="239"/>
      <c r="AY78" s="281"/>
      <c r="AZ78" s="281"/>
      <c r="BA78" s="281"/>
      <c r="BB78" s="239"/>
      <c r="BC78" s="281"/>
      <c r="BD78" s="281"/>
      <c r="BE78" s="281"/>
      <c r="BF78" s="281"/>
      <c r="BG78" s="281"/>
      <c r="BH78" s="281"/>
      <c r="BI78" s="281"/>
      <c r="BJ78" s="281"/>
      <c r="BK78" s="282"/>
      <c r="BL78" s="282"/>
      <c r="BM78" s="282"/>
      <c r="BN78" s="282"/>
      <c r="BO78" s="282"/>
      <c r="BP78" s="283"/>
    </row>
    <row r="79" spans="1:68" s="88" customFormat="1" ht="33.75" customHeight="1">
      <c r="A79" s="92"/>
      <c r="B79" s="93"/>
      <c r="C79" s="93"/>
      <c r="D79" s="93"/>
      <c r="E79" s="93"/>
      <c r="F79" s="93"/>
      <c r="G79" s="93"/>
      <c r="H79" s="94"/>
      <c r="I79" s="94"/>
      <c r="J79" s="94"/>
      <c r="K79" s="94"/>
      <c r="L79" s="93"/>
      <c r="M79" s="95"/>
      <c r="N79" s="95"/>
      <c r="O79" s="93"/>
      <c r="P79" s="93"/>
      <c r="Q79" s="96"/>
      <c r="R79" s="96"/>
      <c r="S79" s="96"/>
      <c r="T79" s="93"/>
      <c r="U79" s="96"/>
      <c r="V79" s="96"/>
      <c r="W79" s="96"/>
      <c r="X79" s="96"/>
      <c r="Y79" s="96"/>
      <c r="Z79" s="96"/>
      <c r="AA79" s="96"/>
      <c r="AB79" s="96"/>
      <c r="AC79" s="97"/>
      <c r="AD79" s="98"/>
      <c r="AE79" s="98"/>
      <c r="AF79" s="99"/>
      <c r="AG79" s="98"/>
      <c r="AH79" s="98"/>
      <c r="AI79" s="92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49"/>
      <c r="AV79" s="249"/>
      <c r="AW79" s="239"/>
      <c r="AX79" s="239"/>
      <c r="AY79" s="281"/>
      <c r="AZ79" s="281"/>
      <c r="BA79" s="281"/>
      <c r="BB79" s="239"/>
      <c r="BC79" s="281"/>
      <c r="BD79" s="281"/>
      <c r="BE79" s="281"/>
      <c r="BF79" s="281"/>
      <c r="BG79" s="281"/>
      <c r="BH79" s="281"/>
      <c r="BI79" s="281"/>
      <c r="BJ79" s="281"/>
      <c r="BK79" s="282"/>
      <c r="BL79" s="282"/>
      <c r="BM79" s="282"/>
      <c r="BN79" s="282"/>
      <c r="BO79" s="282"/>
      <c r="BP79" s="194" t="e">
        <f>BF58/BE58-1</f>
        <v>#DIV/0!</v>
      </c>
    </row>
    <row r="80" spans="1:68" s="88" customFormat="1" ht="33.75" customHeight="1">
      <c r="A80" s="92"/>
      <c r="B80" s="93"/>
      <c r="C80" s="93"/>
      <c r="D80" s="93"/>
      <c r="E80" s="93"/>
      <c r="F80" s="93"/>
      <c r="G80" s="93"/>
      <c r="H80" s="94"/>
      <c r="I80" s="94"/>
      <c r="J80" s="94"/>
      <c r="K80" s="94"/>
      <c r="L80" s="93"/>
      <c r="M80" s="95"/>
      <c r="N80" s="95"/>
      <c r="O80" s="93"/>
      <c r="P80" s="93"/>
      <c r="Q80" s="96"/>
      <c r="R80" s="96"/>
      <c r="S80" s="96"/>
      <c r="T80" s="93"/>
      <c r="U80" s="96"/>
      <c r="V80" s="96"/>
      <c r="W80" s="96"/>
      <c r="X80" s="96"/>
      <c r="Y80" s="96"/>
      <c r="Z80" s="96"/>
      <c r="AA80" s="96"/>
      <c r="AB80" s="96"/>
      <c r="AC80" s="97"/>
      <c r="AD80" s="98"/>
      <c r="AE80" s="98"/>
      <c r="AF80" s="99"/>
      <c r="AG80" s="98"/>
      <c r="AH80" s="98"/>
      <c r="AI80" s="92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49"/>
      <c r="AV80" s="249"/>
      <c r="AW80" s="239"/>
      <c r="AX80" s="239"/>
      <c r="AY80" s="281"/>
      <c r="AZ80" s="281"/>
      <c r="BA80" s="281"/>
      <c r="BB80" s="239"/>
      <c r="BC80" s="281"/>
      <c r="BD80" s="281"/>
      <c r="BE80" s="281"/>
      <c r="BF80" s="281"/>
      <c r="BG80" s="281"/>
      <c r="BH80" s="281"/>
      <c r="BI80" s="281"/>
      <c r="BJ80" s="281"/>
      <c r="BK80" s="282"/>
      <c r="BL80" s="282"/>
      <c r="BM80" s="282"/>
      <c r="BN80" s="282"/>
      <c r="BO80" s="282"/>
      <c r="BP80" s="194"/>
    </row>
    <row r="81" spans="1:68" s="88" customFormat="1" ht="33.75" customHeight="1">
      <c r="A81" s="92"/>
      <c r="B81" s="93"/>
      <c r="C81" s="93"/>
      <c r="D81" s="93"/>
      <c r="E81" s="93"/>
      <c r="F81" s="93"/>
      <c r="G81" s="93"/>
      <c r="H81" s="94"/>
      <c r="I81" s="94"/>
      <c r="J81" s="94"/>
      <c r="K81" s="94"/>
      <c r="L81" s="93"/>
      <c r="M81" s="95"/>
      <c r="N81" s="95"/>
      <c r="O81" s="93"/>
      <c r="P81" s="93"/>
      <c r="Q81" s="96"/>
      <c r="R81" s="96"/>
      <c r="S81" s="96"/>
      <c r="T81" s="93"/>
      <c r="U81" s="96"/>
      <c r="V81" s="96"/>
      <c r="W81" s="96"/>
      <c r="X81" s="96"/>
      <c r="Y81" s="96"/>
      <c r="Z81" s="96"/>
      <c r="AA81" s="96"/>
      <c r="AB81" s="96"/>
      <c r="AC81" s="97"/>
      <c r="AD81" s="98"/>
      <c r="AE81" s="98"/>
      <c r="AF81" s="99"/>
      <c r="AG81" s="98"/>
      <c r="AH81" s="98"/>
      <c r="AI81" s="92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49"/>
      <c r="AV81" s="249"/>
      <c r="AW81" s="239"/>
      <c r="AX81" s="239"/>
      <c r="AY81" s="281"/>
      <c r="AZ81" s="281"/>
      <c r="BA81" s="281"/>
      <c r="BB81" s="239"/>
      <c r="BC81" s="281"/>
      <c r="BD81" s="281"/>
      <c r="BE81" s="281"/>
      <c r="BF81" s="281"/>
      <c r="BG81" s="281"/>
      <c r="BH81" s="281"/>
      <c r="BI81" s="281"/>
      <c r="BJ81" s="281"/>
      <c r="BK81" s="282"/>
      <c r="BL81" s="282"/>
      <c r="BM81" s="282"/>
      <c r="BN81" s="282"/>
      <c r="BO81" s="282"/>
      <c r="BP81" s="194" t="e">
        <f>#REF!/#REF!-1</f>
        <v>#REF!</v>
      </c>
    </row>
    <row r="82" spans="1:68" s="88" customFormat="1" ht="33.75" customHeight="1">
      <c r="A82" s="92"/>
      <c r="B82" s="93"/>
      <c r="C82" s="93"/>
      <c r="D82" s="93"/>
      <c r="E82" s="93"/>
      <c r="F82" s="93"/>
      <c r="G82" s="93"/>
      <c r="H82" s="94"/>
      <c r="I82" s="94"/>
      <c r="J82" s="94"/>
      <c r="K82" s="94"/>
      <c r="L82" s="93"/>
      <c r="M82" s="95"/>
      <c r="N82" s="95"/>
      <c r="O82" s="93"/>
      <c r="P82" s="93"/>
      <c r="Q82" s="96"/>
      <c r="R82" s="96"/>
      <c r="S82" s="96"/>
      <c r="T82" s="93"/>
      <c r="U82" s="96"/>
      <c r="V82" s="96"/>
      <c r="W82" s="96"/>
      <c r="X82" s="96"/>
      <c r="Y82" s="96"/>
      <c r="Z82" s="96"/>
      <c r="AA82" s="96"/>
      <c r="AB82" s="96"/>
      <c r="AC82" s="97"/>
      <c r="AD82" s="98"/>
      <c r="AE82" s="98"/>
      <c r="AF82" s="99"/>
      <c r="AG82" s="98"/>
      <c r="AH82" s="98"/>
      <c r="AI82" s="92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49"/>
      <c r="AV82" s="249"/>
      <c r="AW82" s="239"/>
      <c r="AX82" s="239"/>
      <c r="AY82" s="281"/>
      <c r="AZ82" s="281"/>
      <c r="BA82" s="281"/>
      <c r="BB82" s="239"/>
      <c r="BC82" s="281"/>
      <c r="BD82" s="281"/>
      <c r="BE82" s="281"/>
      <c r="BF82" s="281"/>
      <c r="BG82" s="281"/>
      <c r="BH82" s="281"/>
      <c r="BI82" s="281"/>
      <c r="BJ82" s="281"/>
      <c r="BK82" s="282"/>
      <c r="BL82" s="282"/>
      <c r="BM82" s="282"/>
      <c r="BN82" s="282"/>
      <c r="BO82" s="282"/>
      <c r="BP82" s="210"/>
    </row>
    <row r="83" spans="1:68" s="89" customFormat="1" ht="33.75" customHeight="1">
      <c r="A83" s="92"/>
      <c r="B83" s="93"/>
      <c r="C83" s="93"/>
      <c r="D83" s="93"/>
      <c r="E83" s="93"/>
      <c r="F83" s="93"/>
      <c r="G83" s="93"/>
      <c r="H83" s="94"/>
      <c r="I83" s="94"/>
      <c r="J83" s="94"/>
      <c r="K83" s="94"/>
      <c r="L83" s="93"/>
      <c r="M83" s="95"/>
      <c r="N83" s="95"/>
      <c r="O83" s="93"/>
      <c r="P83" s="93"/>
      <c r="Q83" s="96"/>
      <c r="R83" s="96"/>
      <c r="S83" s="96"/>
      <c r="T83" s="93"/>
      <c r="U83" s="96"/>
      <c r="V83" s="96"/>
      <c r="W83" s="96"/>
      <c r="X83" s="96"/>
      <c r="Y83" s="96"/>
      <c r="Z83" s="96"/>
      <c r="AA83" s="96"/>
      <c r="AB83" s="96"/>
      <c r="AC83" s="97"/>
      <c r="AD83" s="98"/>
      <c r="AE83" s="98"/>
      <c r="AF83" s="99"/>
      <c r="AG83" s="98"/>
      <c r="AH83" s="98"/>
      <c r="AI83" s="92"/>
      <c r="AJ83" s="239"/>
      <c r="AK83" s="239"/>
      <c r="AL83" s="239"/>
      <c r="AM83" s="239"/>
      <c r="AN83" s="239"/>
      <c r="AO83" s="239"/>
      <c r="AP83" s="239"/>
      <c r="AQ83" s="239"/>
      <c r="AR83" s="239"/>
      <c r="AS83" s="239"/>
      <c r="AT83" s="239"/>
      <c r="AU83" s="249"/>
      <c r="AV83" s="249"/>
      <c r="AW83" s="239"/>
      <c r="AX83" s="239"/>
      <c r="AY83" s="281"/>
      <c r="AZ83" s="281"/>
      <c r="BA83" s="281"/>
      <c r="BB83" s="239"/>
      <c r="BC83" s="281"/>
      <c r="BD83" s="281"/>
      <c r="BE83" s="281"/>
      <c r="BF83" s="281"/>
      <c r="BG83" s="281"/>
      <c r="BH83" s="281"/>
      <c r="BI83" s="281"/>
      <c r="BJ83" s="281"/>
      <c r="BK83" s="282"/>
      <c r="BL83" s="282"/>
      <c r="BM83" s="282"/>
      <c r="BN83" s="282"/>
      <c r="BO83" s="282"/>
      <c r="BP83" s="210"/>
    </row>
    <row r="84" spans="1:68" s="88" customFormat="1" ht="33.75" customHeight="1">
      <c r="A84" s="92"/>
      <c r="B84" s="93"/>
      <c r="C84" s="93"/>
      <c r="D84" s="93"/>
      <c r="E84" s="93"/>
      <c r="F84" s="93"/>
      <c r="G84" s="93"/>
      <c r="H84" s="94"/>
      <c r="I84" s="94"/>
      <c r="J84" s="94"/>
      <c r="K84" s="94"/>
      <c r="L84" s="93"/>
      <c r="M84" s="95"/>
      <c r="N84" s="95"/>
      <c r="O84" s="93"/>
      <c r="P84" s="93"/>
      <c r="Q84" s="96"/>
      <c r="R84" s="96"/>
      <c r="S84" s="96"/>
      <c r="T84" s="93"/>
      <c r="U84" s="96"/>
      <c r="V84" s="96"/>
      <c r="W84" s="96"/>
      <c r="X84" s="96"/>
      <c r="Y84" s="96"/>
      <c r="Z84" s="96"/>
      <c r="AA84" s="96"/>
      <c r="AB84" s="96"/>
      <c r="AC84" s="97"/>
      <c r="AD84" s="98"/>
      <c r="AE84" s="98"/>
      <c r="AF84" s="99"/>
      <c r="AG84" s="98"/>
      <c r="AH84" s="98"/>
      <c r="AI84" s="92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49"/>
      <c r="AV84" s="249"/>
      <c r="AW84" s="239"/>
      <c r="AX84" s="239"/>
      <c r="AY84" s="281"/>
      <c r="AZ84" s="281"/>
      <c r="BA84" s="281"/>
      <c r="BB84" s="239"/>
      <c r="BC84" s="281"/>
      <c r="BD84" s="281"/>
      <c r="BE84" s="281"/>
      <c r="BF84" s="281"/>
      <c r="BG84" s="281"/>
      <c r="BH84" s="281"/>
      <c r="BI84" s="281"/>
      <c r="BJ84" s="281"/>
      <c r="BK84" s="282"/>
      <c r="BL84" s="282"/>
      <c r="BM84" s="282"/>
      <c r="BN84" s="282"/>
      <c r="BO84" s="282"/>
      <c r="BP84" s="210"/>
    </row>
    <row r="85" spans="1:68" s="88" customFormat="1" ht="33.75" customHeight="1">
      <c r="A85" s="92"/>
      <c r="B85" s="93"/>
      <c r="C85" s="93"/>
      <c r="D85" s="93"/>
      <c r="E85" s="93"/>
      <c r="F85" s="93"/>
      <c r="G85" s="93"/>
      <c r="H85" s="94"/>
      <c r="I85" s="94"/>
      <c r="J85" s="94"/>
      <c r="K85" s="94"/>
      <c r="L85" s="93"/>
      <c r="M85" s="95"/>
      <c r="N85" s="95"/>
      <c r="O85" s="93"/>
      <c r="P85" s="93"/>
      <c r="Q85" s="96"/>
      <c r="R85" s="96"/>
      <c r="S85" s="96"/>
      <c r="T85" s="93"/>
      <c r="U85" s="96"/>
      <c r="V85" s="96"/>
      <c r="W85" s="96"/>
      <c r="X85" s="96"/>
      <c r="Y85" s="96"/>
      <c r="Z85" s="96"/>
      <c r="AA85" s="96"/>
      <c r="AB85" s="96"/>
      <c r="AC85" s="97"/>
      <c r="AD85" s="98"/>
      <c r="AE85" s="98"/>
      <c r="AF85" s="99"/>
      <c r="AG85" s="98"/>
      <c r="AH85" s="98"/>
      <c r="AI85" s="92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49"/>
      <c r="AV85" s="249"/>
      <c r="AW85" s="239"/>
      <c r="AX85" s="239"/>
      <c r="AY85" s="281"/>
      <c r="AZ85" s="281"/>
      <c r="BA85" s="281"/>
      <c r="BB85" s="239"/>
      <c r="BC85" s="281"/>
      <c r="BD85" s="281"/>
      <c r="BE85" s="281"/>
      <c r="BF85" s="281"/>
      <c r="BG85" s="281"/>
      <c r="BH85" s="281"/>
      <c r="BI85" s="281"/>
      <c r="BJ85" s="281"/>
      <c r="BK85" s="282"/>
      <c r="BL85" s="282"/>
      <c r="BM85" s="282"/>
      <c r="BN85" s="282"/>
      <c r="BO85" s="282"/>
      <c r="BP85" s="210"/>
    </row>
    <row r="86" spans="1:68" s="88" customFormat="1" ht="33.75" customHeight="1">
      <c r="A86" s="92"/>
      <c r="B86" s="93"/>
      <c r="C86" s="93"/>
      <c r="D86" s="93"/>
      <c r="E86" s="93"/>
      <c r="F86" s="93"/>
      <c r="G86" s="93"/>
      <c r="H86" s="94"/>
      <c r="I86" s="94"/>
      <c r="J86" s="94"/>
      <c r="K86" s="94"/>
      <c r="L86" s="93"/>
      <c r="M86" s="95"/>
      <c r="N86" s="95"/>
      <c r="O86" s="93"/>
      <c r="P86" s="93"/>
      <c r="Q86" s="96"/>
      <c r="R86" s="96"/>
      <c r="S86" s="96"/>
      <c r="T86" s="93"/>
      <c r="U86" s="96"/>
      <c r="V86" s="96"/>
      <c r="W86" s="96"/>
      <c r="X86" s="96"/>
      <c r="Y86" s="96"/>
      <c r="Z86" s="96"/>
      <c r="AA86" s="96"/>
      <c r="AB86" s="96"/>
      <c r="AC86" s="97"/>
      <c r="AD86" s="98"/>
      <c r="AE86" s="98"/>
      <c r="AF86" s="99"/>
      <c r="AG86" s="98"/>
      <c r="AH86" s="98"/>
      <c r="AI86" s="92"/>
      <c r="AJ86" s="239"/>
      <c r="AK86" s="239"/>
      <c r="AL86" s="239"/>
      <c r="AM86" s="239"/>
      <c r="AN86" s="239"/>
      <c r="AO86" s="239"/>
      <c r="AP86" s="239"/>
      <c r="AQ86" s="239"/>
      <c r="AR86" s="239"/>
      <c r="AS86" s="239"/>
      <c r="AT86" s="239"/>
      <c r="AU86" s="249"/>
      <c r="AV86" s="249"/>
      <c r="AW86" s="239"/>
      <c r="AX86" s="239"/>
      <c r="AY86" s="281"/>
      <c r="AZ86" s="281"/>
      <c r="BA86" s="281"/>
      <c r="BB86" s="239"/>
      <c r="BC86" s="281"/>
      <c r="BD86" s="281"/>
      <c r="BE86" s="281"/>
      <c r="BF86" s="281"/>
      <c r="BG86" s="281"/>
      <c r="BH86" s="281"/>
      <c r="BI86" s="281"/>
      <c r="BJ86" s="281"/>
      <c r="BK86" s="282"/>
      <c r="BL86" s="282"/>
      <c r="BM86" s="282"/>
      <c r="BN86" s="282"/>
      <c r="BO86" s="282"/>
      <c r="BP86" s="210"/>
    </row>
    <row r="87" spans="1:68" s="88" customFormat="1" ht="33.75" customHeight="1">
      <c r="A87" s="92"/>
      <c r="B87" s="93"/>
      <c r="C87" s="93"/>
      <c r="D87" s="93"/>
      <c r="E87" s="93"/>
      <c r="F87" s="93"/>
      <c r="G87" s="93"/>
      <c r="H87" s="94"/>
      <c r="I87" s="94"/>
      <c r="J87" s="94"/>
      <c r="K87" s="94"/>
      <c r="L87" s="93"/>
      <c r="M87" s="95"/>
      <c r="N87" s="95"/>
      <c r="O87" s="93"/>
      <c r="P87" s="93"/>
      <c r="Q87" s="96"/>
      <c r="R87" s="96"/>
      <c r="S87" s="96"/>
      <c r="T87" s="93"/>
      <c r="U87" s="96"/>
      <c r="V87" s="96"/>
      <c r="W87" s="96"/>
      <c r="X87" s="96"/>
      <c r="Y87" s="96"/>
      <c r="Z87" s="96"/>
      <c r="AA87" s="96"/>
      <c r="AB87" s="96"/>
      <c r="AC87" s="97"/>
      <c r="AD87" s="98"/>
      <c r="AE87" s="98"/>
      <c r="AF87" s="99"/>
      <c r="AG87" s="98"/>
      <c r="AH87" s="98"/>
      <c r="AI87" s="92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49"/>
      <c r="AV87" s="249"/>
      <c r="AW87" s="239"/>
      <c r="AX87" s="239"/>
      <c r="AY87" s="281"/>
      <c r="AZ87" s="281"/>
      <c r="BA87" s="281"/>
      <c r="BB87" s="239"/>
      <c r="BC87" s="281"/>
      <c r="BD87" s="281"/>
      <c r="BE87" s="281"/>
      <c r="BF87" s="281"/>
      <c r="BG87" s="281"/>
      <c r="BH87" s="281"/>
      <c r="BI87" s="281"/>
      <c r="BJ87" s="281"/>
      <c r="BK87" s="282"/>
      <c r="BL87" s="282"/>
      <c r="BM87" s="282"/>
      <c r="BN87" s="282"/>
      <c r="BO87" s="282"/>
      <c r="BP87" s="210"/>
    </row>
    <row r="88" spans="1:68" s="88" customFormat="1" ht="33.75" customHeight="1">
      <c r="A88" s="92"/>
      <c r="B88" s="93"/>
      <c r="C88" s="93"/>
      <c r="D88" s="93"/>
      <c r="E88" s="93"/>
      <c r="F88" s="93"/>
      <c r="G88" s="93"/>
      <c r="H88" s="94"/>
      <c r="I88" s="94"/>
      <c r="J88" s="94"/>
      <c r="K88" s="94"/>
      <c r="L88" s="93"/>
      <c r="M88" s="95"/>
      <c r="N88" s="95"/>
      <c r="O88" s="93"/>
      <c r="P88" s="93"/>
      <c r="Q88" s="96"/>
      <c r="R88" s="96"/>
      <c r="S88" s="96"/>
      <c r="T88" s="93"/>
      <c r="U88" s="96"/>
      <c r="V88" s="96"/>
      <c r="W88" s="96"/>
      <c r="X88" s="96"/>
      <c r="Y88" s="96"/>
      <c r="Z88" s="96"/>
      <c r="AA88" s="96"/>
      <c r="AB88" s="96"/>
      <c r="AC88" s="97"/>
      <c r="AD88" s="98"/>
      <c r="AE88" s="98"/>
      <c r="AF88" s="99"/>
      <c r="AG88" s="98"/>
      <c r="AH88" s="98"/>
      <c r="AI88" s="92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49"/>
      <c r="AV88" s="249"/>
      <c r="AW88" s="239"/>
      <c r="AX88" s="239"/>
      <c r="AY88" s="281"/>
      <c r="AZ88" s="281"/>
      <c r="BA88" s="281"/>
      <c r="BB88" s="239"/>
      <c r="BC88" s="281"/>
      <c r="BD88" s="281"/>
      <c r="BE88" s="281"/>
      <c r="BF88" s="281"/>
      <c r="BG88" s="281"/>
      <c r="BH88" s="281"/>
      <c r="BI88" s="281"/>
      <c r="BJ88" s="281"/>
      <c r="BK88" s="282"/>
      <c r="BL88" s="282"/>
      <c r="BM88" s="282"/>
      <c r="BN88" s="282"/>
      <c r="BO88" s="282"/>
      <c r="BP88" s="284"/>
    </row>
    <row r="89" spans="1:68" s="88" customFormat="1" ht="33.75" customHeight="1">
      <c r="A89" s="92"/>
      <c r="B89" s="93"/>
      <c r="C89" s="93"/>
      <c r="D89" s="93"/>
      <c r="E89" s="93"/>
      <c r="F89" s="93"/>
      <c r="G89" s="93"/>
      <c r="H89" s="94"/>
      <c r="I89" s="94"/>
      <c r="J89" s="94"/>
      <c r="K89" s="94"/>
      <c r="L89" s="93"/>
      <c r="M89" s="95"/>
      <c r="N89" s="95"/>
      <c r="O89" s="93"/>
      <c r="P89" s="93"/>
      <c r="Q89" s="96"/>
      <c r="R89" s="96"/>
      <c r="S89" s="96"/>
      <c r="T89" s="93"/>
      <c r="U89" s="96"/>
      <c r="V89" s="96"/>
      <c r="W89" s="96"/>
      <c r="X89" s="96"/>
      <c r="Y89" s="96"/>
      <c r="Z89" s="96"/>
      <c r="AA89" s="96"/>
      <c r="AB89" s="96"/>
      <c r="AC89" s="97"/>
      <c r="AD89" s="98"/>
      <c r="AE89" s="98"/>
      <c r="AF89" s="99"/>
      <c r="AG89" s="98"/>
      <c r="AH89" s="98"/>
      <c r="AI89" s="92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49"/>
      <c r="AV89" s="249"/>
      <c r="AW89" s="239"/>
      <c r="AX89" s="239"/>
      <c r="AY89" s="281"/>
      <c r="AZ89" s="281"/>
      <c r="BA89" s="281"/>
      <c r="BB89" s="239"/>
      <c r="BC89" s="281"/>
      <c r="BD89" s="281"/>
      <c r="BE89" s="281"/>
      <c r="BF89" s="281"/>
      <c r="BG89" s="281"/>
      <c r="BH89" s="281"/>
      <c r="BI89" s="281"/>
      <c r="BJ89" s="281"/>
      <c r="BK89" s="282"/>
      <c r="BL89" s="282"/>
      <c r="BM89" s="282"/>
      <c r="BN89" s="282"/>
      <c r="BO89" s="282"/>
      <c r="BP89" s="284"/>
    </row>
    <row r="90" spans="1:68" s="88" customFormat="1" ht="33.75" customHeight="1">
      <c r="A90" s="92"/>
      <c r="B90" s="93"/>
      <c r="C90" s="93"/>
      <c r="D90" s="93"/>
      <c r="E90" s="93"/>
      <c r="F90" s="93"/>
      <c r="G90" s="93"/>
      <c r="H90" s="94"/>
      <c r="I90" s="94"/>
      <c r="J90" s="94"/>
      <c r="K90" s="94"/>
      <c r="L90" s="93"/>
      <c r="M90" s="95"/>
      <c r="N90" s="95"/>
      <c r="O90" s="93"/>
      <c r="P90" s="93"/>
      <c r="Q90" s="96"/>
      <c r="R90" s="96"/>
      <c r="S90" s="96"/>
      <c r="T90" s="93"/>
      <c r="U90" s="96"/>
      <c r="V90" s="96"/>
      <c r="W90" s="96"/>
      <c r="X90" s="96"/>
      <c r="Y90" s="96"/>
      <c r="Z90" s="96"/>
      <c r="AA90" s="96"/>
      <c r="AB90" s="96"/>
      <c r="AC90" s="97"/>
      <c r="AD90" s="98"/>
      <c r="AE90" s="98"/>
      <c r="AF90" s="99"/>
      <c r="AG90" s="98"/>
      <c r="AH90" s="98"/>
      <c r="AI90" s="92"/>
      <c r="AJ90" s="239"/>
      <c r="AK90" s="239"/>
      <c r="AL90" s="239"/>
      <c r="AM90" s="239"/>
      <c r="AN90" s="239"/>
      <c r="AO90" s="239"/>
      <c r="AP90" s="239"/>
      <c r="AQ90" s="239"/>
      <c r="AR90" s="239"/>
      <c r="AS90" s="239"/>
      <c r="AT90" s="239"/>
      <c r="AU90" s="249"/>
      <c r="AV90" s="249"/>
      <c r="AW90" s="239"/>
      <c r="AX90" s="239"/>
      <c r="AY90" s="281"/>
      <c r="AZ90" s="281"/>
      <c r="BA90" s="281"/>
      <c r="BB90" s="239"/>
      <c r="BC90" s="281"/>
      <c r="BD90" s="281"/>
      <c r="BE90" s="281"/>
      <c r="BF90" s="281"/>
      <c r="BG90" s="281"/>
      <c r="BH90" s="281"/>
      <c r="BI90" s="281"/>
      <c r="BJ90" s="281"/>
      <c r="BK90" s="282"/>
      <c r="BL90" s="282"/>
      <c r="BM90" s="282"/>
      <c r="BN90" s="282"/>
      <c r="BO90" s="282"/>
      <c r="BP90" s="284"/>
    </row>
    <row r="91" spans="1:68" s="88" customFormat="1" ht="33.75" customHeight="1">
      <c r="A91" s="92"/>
      <c r="B91" s="93"/>
      <c r="C91" s="93"/>
      <c r="D91" s="93"/>
      <c r="E91" s="93"/>
      <c r="F91" s="93"/>
      <c r="G91" s="93"/>
      <c r="H91" s="94"/>
      <c r="I91" s="94"/>
      <c r="J91" s="94"/>
      <c r="K91" s="94"/>
      <c r="L91" s="93"/>
      <c r="M91" s="95"/>
      <c r="N91" s="95"/>
      <c r="O91" s="93"/>
      <c r="P91" s="93"/>
      <c r="Q91" s="96"/>
      <c r="R91" s="96"/>
      <c r="S91" s="96"/>
      <c r="T91" s="93"/>
      <c r="U91" s="96"/>
      <c r="V91" s="96"/>
      <c r="W91" s="96"/>
      <c r="X91" s="96"/>
      <c r="Y91" s="96"/>
      <c r="Z91" s="96"/>
      <c r="AA91" s="96"/>
      <c r="AB91" s="96"/>
      <c r="AC91" s="97"/>
      <c r="AD91" s="98"/>
      <c r="AE91" s="98"/>
      <c r="AF91" s="99"/>
      <c r="AG91" s="98"/>
      <c r="AH91" s="98"/>
      <c r="AI91" s="92"/>
      <c r="AJ91" s="239"/>
      <c r="AK91" s="239"/>
      <c r="AL91" s="239"/>
      <c r="AM91" s="239"/>
      <c r="AN91" s="239"/>
      <c r="AO91" s="239"/>
      <c r="AP91" s="239"/>
      <c r="AQ91" s="239"/>
      <c r="AR91" s="239"/>
      <c r="AS91" s="239"/>
      <c r="AT91" s="239"/>
      <c r="AU91" s="249"/>
      <c r="AV91" s="249"/>
      <c r="AW91" s="239"/>
      <c r="AX91" s="239"/>
      <c r="AY91" s="281"/>
      <c r="AZ91" s="281"/>
      <c r="BA91" s="281"/>
      <c r="BB91" s="239"/>
      <c r="BC91" s="281"/>
      <c r="BD91" s="281"/>
      <c r="BE91" s="281"/>
      <c r="BF91" s="281"/>
      <c r="BG91" s="281"/>
      <c r="BH91" s="281"/>
      <c r="BI91" s="281"/>
      <c r="BJ91" s="281"/>
      <c r="BK91" s="282"/>
      <c r="BL91" s="282"/>
      <c r="BM91" s="282"/>
      <c r="BN91" s="282"/>
      <c r="BO91" s="282"/>
      <c r="BP91" s="284"/>
    </row>
    <row r="92" spans="1:68" s="88" customFormat="1" ht="33.75" customHeight="1">
      <c r="A92" s="92"/>
      <c r="B92" s="93"/>
      <c r="C92" s="93"/>
      <c r="D92" s="93"/>
      <c r="E92" s="93"/>
      <c r="F92" s="93"/>
      <c r="G92" s="93"/>
      <c r="H92" s="94"/>
      <c r="I92" s="94"/>
      <c r="J92" s="94"/>
      <c r="K92" s="94"/>
      <c r="L92" s="93"/>
      <c r="M92" s="95"/>
      <c r="N92" s="95"/>
      <c r="O92" s="93"/>
      <c r="P92" s="93"/>
      <c r="Q92" s="96"/>
      <c r="R92" s="96"/>
      <c r="S92" s="96"/>
      <c r="T92" s="93"/>
      <c r="U92" s="96"/>
      <c r="V92" s="96"/>
      <c r="W92" s="96"/>
      <c r="X92" s="96"/>
      <c r="Y92" s="96"/>
      <c r="Z92" s="96"/>
      <c r="AA92" s="96"/>
      <c r="AB92" s="96"/>
      <c r="AC92" s="97"/>
      <c r="AD92" s="98"/>
      <c r="AE92" s="98"/>
      <c r="AF92" s="99"/>
      <c r="AG92" s="98"/>
      <c r="AH92" s="98"/>
      <c r="AI92" s="92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49"/>
      <c r="AV92" s="249"/>
      <c r="AW92" s="239"/>
      <c r="AX92" s="239"/>
      <c r="AY92" s="281"/>
      <c r="AZ92" s="281"/>
      <c r="BA92" s="281"/>
      <c r="BB92" s="239"/>
      <c r="BC92" s="281"/>
      <c r="BD92" s="281"/>
      <c r="BE92" s="281"/>
      <c r="BF92" s="281"/>
      <c r="BG92" s="281"/>
      <c r="BH92" s="281"/>
      <c r="BI92" s="281"/>
      <c r="BJ92" s="281"/>
      <c r="BK92" s="282"/>
      <c r="BL92" s="282"/>
      <c r="BM92" s="282"/>
      <c r="BN92" s="282"/>
      <c r="BO92" s="282"/>
      <c r="BP92" s="284"/>
    </row>
    <row r="93" spans="1:68" s="88" customFormat="1" ht="33.75" customHeight="1">
      <c r="A93" s="92"/>
      <c r="B93" s="93"/>
      <c r="C93" s="93"/>
      <c r="D93" s="93"/>
      <c r="E93" s="93"/>
      <c r="F93" s="93"/>
      <c r="G93" s="93"/>
      <c r="H93" s="94"/>
      <c r="I93" s="94"/>
      <c r="J93" s="94"/>
      <c r="K93" s="94"/>
      <c r="L93" s="93"/>
      <c r="M93" s="95"/>
      <c r="N93" s="95"/>
      <c r="O93" s="93"/>
      <c r="P93" s="93"/>
      <c r="Q93" s="96"/>
      <c r="R93" s="96"/>
      <c r="S93" s="96"/>
      <c r="T93" s="93"/>
      <c r="U93" s="96"/>
      <c r="V93" s="96"/>
      <c r="W93" s="96"/>
      <c r="X93" s="96"/>
      <c r="Y93" s="96"/>
      <c r="Z93" s="96"/>
      <c r="AA93" s="96"/>
      <c r="AB93" s="96"/>
      <c r="AC93" s="97"/>
      <c r="AD93" s="98"/>
      <c r="AE93" s="98"/>
      <c r="AF93" s="99"/>
      <c r="AG93" s="98"/>
      <c r="AH93" s="98"/>
      <c r="AI93" s="92"/>
      <c r="AJ93" s="239"/>
      <c r="AK93" s="239"/>
      <c r="AL93" s="239"/>
      <c r="AM93" s="239"/>
      <c r="AN93" s="239"/>
      <c r="AO93" s="239"/>
      <c r="AP93" s="239"/>
      <c r="AQ93" s="239"/>
      <c r="AR93" s="239"/>
      <c r="AS93" s="239"/>
      <c r="AT93" s="239"/>
      <c r="AU93" s="249"/>
      <c r="AV93" s="249"/>
      <c r="AW93" s="239"/>
      <c r="AX93" s="239"/>
      <c r="AY93" s="281"/>
      <c r="AZ93" s="281"/>
      <c r="BA93" s="281"/>
      <c r="BB93" s="239"/>
      <c r="BC93" s="281"/>
      <c r="BD93" s="281"/>
      <c r="BE93" s="281"/>
      <c r="BF93" s="281"/>
      <c r="BG93" s="281"/>
      <c r="BH93" s="281"/>
      <c r="BI93" s="281"/>
      <c r="BJ93" s="281"/>
      <c r="BK93" s="282"/>
      <c r="BL93" s="282"/>
      <c r="BM93" s="282"/>
      <c r="BN93" s="282"/>
      <c r="BO93" s="282"/>
      <c r="BP93" s="284"/>
    </row>
    <row r="94" spans="1:68" s="88" customFormat="1" ht="29.25" customHeight="1">
      <c r="A94" s="92"/>
      <c r="B94" s="93"/>
      <c r="C94" s="93"/>
      <c r="D94" s="93"/>
      <c r="E94" s="93"/>
      <c r="F94" s="93"/>
      <c r="G94" s="93"/>
      <c r="H94" s="94"/>
      <c r="I94" s="94"/>
      <c r="J94" s="94"/>
      <c r="K94" s="94"/>
      <c r="L94" s="93"/>
      <c r="M94" s="95"/>
      <c r="N94" s="95"/>
      <c r="O94" s="93"/>
      <c r="P94" s="93"/>
      <c r="Q94" s="96"/>
      <c r="R94" s="96"/>
      <c r="S94" s="96"/>
      <c r="T94" s="93"/>
      <c r="U94" s="96"/>
      <c r="V94" s="96"/>
      <c r="W94" s="96"/>
      <c r="X94" s="96"/>
      <c r="Y94" s="96"/>
      <c r="Z94" s="96"/>
      <c r="AA94" s="96"/>
      <c r="AB94" s="96"/>
      <c r="AC94" s="97"/>
      <c r="AD94" s="98"/>
      <c r="AE94" s="98"/>
      <c r="AF94" s="99"/>
      <c r="AG94" s="98"/>
      <c r="AH94" s="98"/>
      <c r="AI94" s="92"/>
      <c r="AJ94" s="239"/>
      <c r="AK94" s="239"/>
      <c r="AL94" s="239"/>
      <c r="AM94" s="239"/>
      <c r="AN94" s="239"/>
      <c r="AO94" s="239"/>
      <c r="AP94" s="239"/>
      <c r="AQ94" s="239"/>
      <c r="AR94" s="239"/>
      <c r="AS94" s="239"/>
      <c r="AT94" s="239"/>
      <c r="AU94" s="249"/>
      <c r="AV94" s="249"/>
      <c r="AW94" s="239"/>
      <c r="AX94" s="239"/>
      <c r="AY94" s="281"/>
      <c r="AZ94" s="281"/>
      <c r="BA94" s="281"/>
      <c r="BB94" s="239"/>
      <c r="BC94" s="281"/>
      <c r="BD94" s="281"/>
      <c r="BE94" s="281"/>
      <c r="BF94" s="281"/>
      <c r="BG94" s="281"/>
      <c r="BH94" s="281"/>
      <c r="BI94" s="281"/>
      <c r="BJ94" s="281"/>
      <c r="BK94" s="282"/>
      <c r="BL94" s="282"/>
      <c r="BM94" s="282"/>
      <c r="BN94" s="282"/>
      <c r="BO94" s="282"/>
      <c r="BP94" s="284"/>
    </row>
    <row r="95" spans="1:68" s="89" customFormat="1" ht="29.25" customHeight="1">
      <c r="A95" s="92"/>
      <c r="B95" s="93"/>
      <c r="C95" s="93"/>
      <c r="D95" s="93"/>
      <c r="E95" s="93"/>
      <c r="F95" s="93"/>
      <c r="G95" s="93"/>
      <c r="H95" s="94"/>
      <c r="I95" s="94"/>
      <c r="J95" s="94"/>
      <c r="K95" s="94"/>
      <c r="L95" s="93"/>
      <c r="M95" s="95"/>
      <c r="N95" s="95"/>
      <c r="O95" s="93"/>
      <c r="P95" s="93"/>
      <c r="Q95" s="96"/>
      <c r="R95" s="96"/>
      <c r="S95" s="96"/>
      <c r="T95" s="93"/>
      <c r="U95" s="96"/>
      <c r="V95" s="96"/>
      <c r="W95" s="96"/>
      <c r="X95" s="96"/>
      <c r="Y95" s="96"/>
      <c r="Z95" s="96"/>
      <c r="AA95" s="96"/>
      <c r="AB95" s="96"/>
      <c r="AC95" s="97"/>
      <c r="AD95" s="98"/>
      <c r="AE95" s="98"/>
      <c r="AF95" s="99"/>
      <c r="AG95" s="98"/>
      <c r="AH95" s="98"/>
      <c r="AI95" s="92"/>
      <c r="AJ95" s="239"/>
      <c r="AK95" s="239"/>
      <c r="AL95" s="239"/>
      <c r="AM95" s="239"/>
      <c r="AN95" s="239"/>
      <c r="AO95" s="239"/>
      <c r="AP95" s="239"/>
      <c r="AQ95" s="239"/>
      <c r="AR95" s="239"/>
      <c r="AS95" s="239"/>
      <c r="AT95" s="239"/>
      <c r="AU95" s="249"/>
      <c r="AV95" s="249"/>
      <c r="AW95" s="239"/>
      <c r="AX95" s="239"/>
      <c r="AY95" s="281"/>
      <c r="AZ95" s="281"/>
      <c r="BA95" s="281"/>
      <c r="BB95" s="239"/>
      <c r="BC95" s="281"/>
      <c r="BD95" s="281"/>
      <c r="BE95" s="281"/>
      <c r="BF95" s="281"/>
      <c r="BG95" s="281"/>
      <c r="BH95" s="281"/>
      <c r="BI95" s="281"/>
      <c r="BJ95" s="281"/>
      <c r="BK95" s="282"/>
      <c r="BL95" s="282"/>
      <c r="BM95" s="282"/>
      <c r="BN95" s="282"/>
      <c r="BO95" s="282"/>
      <c r="BP95" s="284"/>
    </row>
    <row r="96" spans="1:68" s="91" customFormat="1" ht="29.25" customHeight="1">
      <c r="A96" s="92"/>
      <c r="B96" s="93"/>
      <c r="C96" s="93"/>
      <c r="D96" s="93"/>
      <c r="E96" s="93"/>
      <c r="F96" s="93"/>
      <c r="G96" s="93"/>
      <c r="H96" s="94"/>
      <c r="I96" s="94"/>
      <c r="J96" s="94"/>
      <c r="K96" s="94"/>
      <c r="L96" s="93"/>
      <c r="M96" s="95"/>
      <c r="N96" s="95"/>
      <c r="O96" s="93"/>
      <c r="P96" s="93"/>
      <c r="Q96" s="96"/>
      <c r="R96" s="96"/>
      <c r="S96" s="96"/>
      <c r="T96" s="93"/>
      <c r="U96" s="96"/>
      <c r="V96" s="96"/>
      <c r="W96" s="96"/>
      <c r="X96" s="96"/>
      <c r="Y96" s="96"/>
      <c r="Z96" s="96"/>
      <c r="AA96" s="96"/>
      <c r="AB96" s="96"/>
      <c r="AC96" s="97"/>
      <c r="AD96" s="98"/>
      <c r="AE96" s="98"/>
      <c r="AF96" s="99"/>
      <c r="AG96" s="98"/>
      <c r="AH96" s="98"/>
      <c r="AI96" s="92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49"/>
      <c r="AV96" s="249"/>
      <c r="AW96" s="239"/>
      <c r="AX96" s="239"/>
      <c r="AY96" s="281"/>
      <c r="AZ96" s="281"/>
      <c r="BA96" s="281"/>
      <c r="BB96" s="239"/>
      <c r="BC96" s="281"/>
      <c r="BD96" s="281"/>
      <c r="BE96" s="281"/>
      <c r="BF96" s="281"/>
      <c r="BG96" s="281"/>
      <c r="BH96" s="281"/>
      <c r="BI96" s="281"/>
      <c r="BJ96" s="281"/>
      <c r="BK96" s="282"/>
      <c r="BL96" s="282"/>
      <c r="BM96" s="282"/>
      <c r="BN96" s="282"/>
      <c r="BO96" s="282"/>
      <c r="BP96" s="284"/>
    </row>
    <row r="97" spans="1:68" s="91" customFormat="1" ht="29.25" customHeight="1">
      <c r="A97" s="92"/>
      <c r="B97" s="93"/>
      <c r="C97" s="93"/>
      <c r="D97" s="93"/>
      <c r="E97" s="93"/>
      <c r="F97" s="93"/>
      <c r="G97" s="93"/>
      <c r="H97" s="94"/>
      <c r="I97" s="94"/>
      <c r="J97" s="94"/>
      <c r="K97" s="94"/>
      <c r="L97" s="93"/>
      <c r="M97" s="95"/>
      <c r="N97" s="95"/>
      <c r="O97" s="93"/>
      <c r="P97" s="93"/>
      <c r="Q97" s="96"/>
      <c r="R97" s="96"/>
      <c r="S97" s="96"/>
      <c r="T97" s="93"/>
      <c r="U97" s="96"/>
      <c r="V97" s="96"/>
      <c r="W97" s="96"/>
      <c r="X97" s="96"/>
      <c r="Y97" s="96"/>
      <c r="Z97" s="96"/>
      <c r="AA97" s="96"/>
      <c r="AB97" s="96"/>
      <c r="AC97" s="97"/>
      <c r="AD97" s="98"/>
      <c r="AE97" s="98"/>
      <c r="AF97" s="99"/>
      <c r="AG97" s="98"/>
      <c r="AH97" s="98"/>
      <c r="AI97" s="92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49"/>
      <c r="AV97" s="249"/>
      <c r="AW97" s="239"/>
      <c r="AX97" s="239"/>
      <c r="AY97" s="281"/>
      <c r="AZ97" s="281"/>
      <c r="BA97" s="281"/>
      <c r="BB97" s="239"/>
      <c r="BC97" s="281"/>
      <c r="BD97" s="281"/>
      <c r="BE97" s="281"/>
      <c r="BF97" s="281"/>
      <c r="BG97" s="281"/>
      <c r="BH97" s="281"/>
      <c r="BI97" s="281"/>
      <c r="BJ97" s="281"/>
      <c r="BK97" s="282"/>
      <c r="BL97" s="282"/>
      <c r="BM97" s="282"/>
      <c r="BN97" s="282"/>
      <c r="BO97" s="282"/>
      <c r="BP97" s="284"/>
    </row>
    <row r="98" spans="1:68" s="91" customFormat="1" ht="29.25" customHeight="1">
      <c r="A98" s="92"/>
      <c r="B98" s="93"/>
      <c r="C98" s="93"/>
      <c r="D98" s="93"/>
      <c r="E98" s="93"/>
      <c r="F98" s="93"/>
      <c r="G98" s="93"/>
      <c r="H98" s="94"/>
      <c r="I98" s="94"/>
      <c r="J98" s="94"/>
      <c r="K98" s="94"/>
      <c r="L98" s="93"/>
      <c r="M98" s="95"/>
      <c r="N98" s="95"/>
      <c r="O98" s="93"/>
      <c r="P98" s="93"/>
      <c r="Q98" s="96"/>
      <c r="R98" s="96"/>
      <c r="S98" s="96"/>
      <c r="T98" s="93"/>
      <c r="U98" s="96"/>
      <c r="V98" s="96"/>
      <c r="W98" s="96"/>
      <c r="X98" s="96"/>
      <c r="Y98" s="96"/>
      <c r="Z98" s="96"/>
      <c r="AA98" s="96"/>
      <c r="AB98" s="96"/>
      <c r="AC98" s="97"/>
      <c r="AD98" s="98"/>
      <c r="AE98" s="98"/>
      <c r="AF98" s="99"/>
      <c r="AG98" s="98"/>
      <c r="AH98" s="98"/>
      <c r="AI98" s="92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49"/>
      <c r="AV98" s="249"/>
      <c r="AW98" s="239"/>
      <c r="AX98" s="239"/>
      <c r="AY98" s="281"/>
      <c r="AZ98" s="281"/>
      <c r="BA98" s="281"/>
      <c r="BB98" s="239"/>
      <c r="BC98" s="281"/>
      <c r="BD98" s="281"/>
      <c r="BE98" s="281"/>
      <c r="BF98" s="281"/>
      <c r="BG98" s="281"/>
      <c r="BH98" s="281"/>
      <c r="BI98" s="281"/>
      <c r="BJ98" s="281"/>
      <c r="BK98" s="282"/>
      <c r="BL98" s="282"/>
      <c r="BM98" s="282"/>
      <c r="BN98" s="282"/>
      <c r="BO98" s="282"/>
      <c r="BP98" s="284"/>
    </row>
    <row r="99" spans="1:68" s="91" customFormat="1" ht="25.5" customHeight="1">
      <c r="A99" s="92"/>
      <c r="B99" s="93"/>
      <c r="C99" s="93"/>
      <c r="D99" s="93"/>
      <c r="E99" s="93"/>
      <c r="F99" s="93"/>
      <c r="G99" s="93"/>
      <c r="H99" s="94"/>
      <c r="I99" s="94"/>
      <c r="J99" s="94"/>
      <c r="K99" s="94"/>
      <c r="L99" s="93"/>
      <c r="M99" s="95"/>
      <c r="N99" s="95"/>
      <c r="O99" s="93"/>
      <c r="P99" s="93"/>
      <c r="Q99" s="96"/>
      <c r="R99" s="96"/>
      <c r="S99" s="96"/>
      <c r="T99" s="93"/>
      <c r="U99" s="96"/>
      <c r="V99" s="96"/>
      <c r="W99" s="96"/>
      <c r="X99" s="96"/>
      <c r="Y99" s="96"/>
      <c r="Z99" s="96"/>
      <c r="AA99" s="96"/>
      <c r="AB99" s="96"/>
      <c r="AC99" s="97"/>
      <c r="AD99" s="98"/>
      <c r="AE99" s="98"/>
      <c r="AF99" s="99"/>
      <c r="AG99" s="98"/>
      <c r="AH99" s="98"/>
      <c r="AI99" s="92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49"/>
      <c r="AV99" s="249"/>
      <c r="AW99" s="239"/>
      <c r="AX99" s="239"/>
      <c r="AY99" s="281"/>
      <c r="AZ99" s="281"/>
      <c r="BA99" s="281"/>
      <c r="BB99" s="239"/>
      <c r="BC99" s="281"/>
      <c r="BD99" s="281"/>
      <c r="BE99" s="281"/>
      <c r="BF99" s="281"/>
      <c r="BG99" s="281"/>
      <c r="BH99" s="281"/>
      <c r="BI99" s="281"/>
      <c r="BJ99" s="281"/>
      <c r="BK99" s="282"/>
      <c r="BL99" s="282"/>
      <c r="BM99" s="282"/>
      <c r="BN99" s="282"/>
      <c r="BO99" s="282"/>
      <c r="BP99" s="284"/>
    </row>
    <row r="100" spans="1:68" s="91" customFormat="1" ht="25.5" customHeight="1">
      <c r="A100" s="92"/>
      <c r="B100" s="93"/>
      <c r="C100" s="93"/>
      <c r="D100" s="93"/>
      <c r="E100" s="93"/>
      <c r="F100" s="93"/>
      <c r="G100" s="93"/>
      <c r="H100" s="94"/>
      <c r="I100" s="94"/>
      <c r="J100" s="94"/>
      <c r="K100" s="94"/>
      <c r="L100" s="93"/>
      <c r="M100" s="95"/>
      <c r="N100" s="95"/>
      <c r="O100" s="93"/>
      <c r="P100" s="93"/>
      <c r="Q100" s="96"/>
      <c r="R100" s="96"/>
      <c r="S100" s="96"/>
      <c r="T100" s="93"/>
      <c r="U100" s="96"/>
      <c r="V100" s="96"/>
      <c r="W100" s="96"/>
      <c r="X100" s="96"/>
      <c r="Y100" s="96"/>
      <c r="Z100" s="96"/>
      <c r="AA100" s="96"/>
      <c r="AB100" s="96"/>
      <c r="AC100" s="97"/>
      <c r="AD100" s="98"/>
      <c r="AE100" s="98"/>
      <c r="AF100" s="99"/>
      <c r="AG100" s="98"/>
      <c r="AH100" s="98"/>
      <c r="AI100" s="92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49"/>
      <c r="AV100" s="249"/>
      <c r="AW100" s="239"/>
      <c r="AX100" s="239"/>
      <c r="AY100" s="281"/>
      <c r="AZ100" s="281"/>
      <c r="BA100" s="281"/>
      <c r="BB100" s="239"/>
      <c r="BC100" s="281"/>
      <c r="BD100" s="281"/>
      <c r="BE100" s="281"/>
      <c r="BF100" s="281"/>
      <c r="BG100" s="281"/>
      <c r="BH100" s="281"/>
      <c r="BI100" s="281"/>
      <c r="BJ100" s="281"/>
      <c r="BK100" s="282"/>
      <c r="BL100" s="282"/>
      <c r="BM100" s="282"/>
      <c r="BN100" s="282"/>
      <c r="BO100" s="282"/>
      <c r="BP100" s="284"/>
    </row>
    <row r="101" spans="1:68" s="91" customFormat="1" ht="25.5" customHeight="1">
      <c r="A101" s="92"/>
      <c r="B101" s="93"/>
      <c r="C101" s="93"/>
      <c r="D101" s="93"/>
      <c r="E101" s="93"/>
      <c r="F101" s="93"/>
      <c r="G101" s="93"/>
      <c r="H101" s="94"/>
      <c r="I101" s="94"/>
      <c r="J101" s="94"/>
      <c r="K101" s="94"/>
      <c r="L101" s="93"/>
      <c r="M101" s="95"/>
      <c r="N101" s="95"/>
      <c r="O101" s="93"/>
      <c r="P101" s="93"/>
      <c r="Q101" s="96"/>
      <c r="R101" s="96"/>
      <c r="S101" s="96"/>
      <c r="T101" s="93"/>
      <c r="U101" s="96"/>
      <c r="V101" s="96"/>
      <c r="W101" s="96"/>
      <c r="X101" s="96"/>
      <c r="Y101" s="96"/>
      <c r="Z101" s="96"/>
      <c r="AA101" s="96"/>
      <c r="AB101" s="96"/>
      <c r="AC101" s="97"/>
      <c r="AD101" s="98"/>
      <c r="AE101" s="98"/>
      <c r="AF101" s="99"/>
      <c r="AG101" s="98"/>
      <c r="AH101" s="98"/>
      <c r="AI101" s="92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49"/>
      <c r="AV101" s="249"/>
      <c r="AW101" s="239"/>
      <c r="AX101" s="239"/>
      <c r="AY101" s="281"/>
      <c r="AZ101" s="281"/>
      <c r="BA101" s="281"/>
      <c r="BB101" s="239"/>
      <c r="BC101" s="281"/>
      <c r="BD101" s="281"/>
      <c r="BE101" s="281"/>
      <c r="BF101" s="281"/>
      <c r="BG101" s="281"/>
      <c r="BH101" s="281"/>
      <c r="BI101" s="281"/>
      <c r="BJ101" s="281"/>
      <c r="BK101" s="282"/>
      <c r="BL101" s="282"/>
      <c r="BM101" s="282"/>
      <c r="BN101" s="282"/>
      <c r="BO101" s="282"/>
      <c r="BP101" s="284"/>
    </row>
    <row r="102" spans="1:68" s="91" customFormat="1" ht="25.5" customHeight="1">
      <c r="A102" s="92"/>
      <c r="B102" s="93"/>
      <c r="C102" s="93"/>
      <c r="D102" s="93"/>
      <c r="E102" s="93"/>
      <c r="F102" s="93"/>
      <c r="G102" s="93"/>
      <c r="H102" s="94"/>
      <c r="I102" s="94"/>
      <c r="J102" s="94"/>
      <c r="K102" s="94"/>
      <c r="L102" s="93"/>
      <c r="M102" s="95"/>
      <c r="N102" s="95"/>
      <c r="O102" s="93"/>
      <c r="P102" s="93"/>
      <c r="Q102" s="96"/>
      <c r="R102" s="96"/>
      <c r="S102" s="96"/>
      <c r="T102" s="93"/>
      <c r="U102" s="96"/>
      <c r="V102" s="96"/>
      <c r="W102" s="96"/>
      <c r="X102" s="96"/>
      <c r="Y102" s="96"/>
      <c r="Z102" s="96"/>
      <c r="AA102" s="96"/>
      <c r="AB102" s="96"/>
      <c r="AC102" s="97"/>
      <c r="AD102" s="98"/>
      <c r="AE102" s="98"/>
      <c r="AF102" s="99"/>
      <c r="AG102" s="98"/>
      <c r="AH102" s="98"/>
      <c r="AI102" s="92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49"/>
      <c r="AV102" s="249"/>
      <c r="AW102" s="239"/>
      <c r="AX102" s="239"/>
      <c r="AY102" s="281"/>
      <c r="AZ102" s="281"/>
      <c r="BA102" s="281"/>
      <c r="BB102" s="239"/>
      <c r="BC102" s="281"/>
      <c r="BD102" s="281"/>
      <c r="BE102" s="281"/>
      <c r="BF102" s="281"/>
      <c r="BG102" s="281"/>
      <c r="BH102" s="281"/>
      <c r="BI102" s="281"/>
      <c r="BJ102" s="281"/>
      <c r="BK102" s="282"/>
      <c r="BL102" s="282"/>
      <c r="BM102" s="282"/>
      <c r="BN102" s="282"/>
      <c r="BO102" s="282"/>
      <c r="BP102" s="285"/>
    </row>
    <row r="103" spans="1:68" s="91" customFormat="1" ht="25.5" customHeight="1">
      <c r="A103" s="92"/>
      <c r="B103" s="93"/>
      <c r="C103" s="93"/>
      <c r="D103" s="93"/>
      <c r="E103" s="93"/>
      <c r="F103" s="93"/>
      <c r="G103" s="93"/>
      <c r="H103" s="94"/>
      <c r="I103" s="94"/>
      <c r="J103" s="94"/>
      <c r="K103" s="94"/>
      <c r="L103" s="93"/>
      <c r="M103" s="95"/>
      <c r="N103" s="95"/>
      <c r="O103" s="93"/>
      <c r="P103" s="93"/>
      <c r="Q103" s="96"/>
      <c r="R103" s="96"/>
      <c r="S103" s="96"/>
      <c r="T103" s="93"/>
      <c r="U103" s="96"/>
      <c r="V103" s="96"/>
      <c r="W103" s="96"/>
      <c r="X103" s="96"/>
      <c r="Y103" s="96"/>
      <c r="Z103" s="96"/>
      <c r="AA103" s="96"/>
      <c r="AB103" s="96"/>
      <c r="AC103" s="97"/>
      <c r="AD103" s="98"/>
      <c r="AE103" s="98"/>
      <c r="AF103" s="99"/>
      <c r="AG103" s="98"/>
      <c r="AH103" s="98"/>
      <c r="AI103" s="92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49"/>
      <c r="AV103" s="249"/>
      <c r="AW103" s="239"/>
      <c r="AX103" s="239"/>
      <c r="AY103" s="281"/>
      <c r="AZ103" s="281"/>
      <c r="BA103" s="281"/>
      <c r="BB103" s="239"/>
      <c r="BC103" s="281"/>
      <c r="BD103" s="281"/>
      <c r="BE103" s="281"/>
      <c r="BF103" s="281"/>
      <c r="BG103" s="281"/>
      <c r="BH103" s="281"/>
      <c r="BI103" s="281"/>
      <c r="BJ103" s="281"/>
      <c r="BK103" s="282"/>
      <c r="BL103" s="282"/>
      <c r="BM103" s="282"/>
      <c r="BN103" s="282"/>
      <c r="BO103" s="282"/>
      <c r="BP103" s="285"/>
    </row>
    <row r="104" spans="1:68" s="91" customFormat="1" ht="25.5" customHeight="1">
      <c r="A104" s="92"/>
      <c r="B104" s="93"/>
      <c r="C104" s="93"/>
      <c r="D104" s="93"/>
      <c r="E104" s="93"/>
      <c r="F104" s="93"/>
      <c r="G104" s="93"/>
      <c r="H104" s="94"/>
      <c r="I104" s="94"/>
      <c r="J104" s="94"/>
      <c r="K104" s="94"/>
      <c r="L104" s="93"/>
      <c r="M104" s="95"/>
      <c r="N104" s="95"/>
      <c r="O104" s="93"/>
      <c r="P104" s="93"/>
      <c r="Q104" s="96"/>
      <c r="R104" s="96"/>
      <c r="S104" s="96"/>
      <c r="T104" s="93"/>
      <c r="U104" s="96"/>
      <c r="V104" s="96"/>
      <c r="W104" s="96"/>
      <c r="X104" s="96"/>
      <c r="Y104" s="96"/>
      <c r="Z104" s="96"/>
      <c r="AA104" s="96"/>
      <c r="AB104" s="96"/>
      <c r="AC104" s="97"/>
      <c r="AD104" s="98"/>
      <c r="AE104" s="98"/>
      <c r="AF104" s="99"/>
      <c r="AG104" s="98"/>
      <c r="AH104" s="98"/>
      <c r="AI104" s="92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49"/>
      <c r="AV104" s="249"/>
      <c r="AW104" s="239"/>
      <c r="AX104" s="239"/>
      <c r="AY104" s="281"/>
      <c r="AZ104" s="281"/>
      <c r="BA104" s="281"/>
      <c r="BB104" s="239"/>
      <c r="BC104" s="281"/>
      <c r="BD104" s="281"/>
      <c r="BE104" s="281"/>
      <c r="BF104" s="281"/>
      <c r="BG104" s="281"/>
      <c r="BH104" s="281"/>
      <c r="BI104" s="281"/>
      <c r="BJ104" s="281"/>
      <c r="BK104" s="282"/>
      <c r="BL104" s="282"/>
      <c r="BM104" s="282"/>
      <c r="BN104" s="282"/>
      <c r="BO104" s="282"/>
      <c r="BP104" s="285"/>
    </row>
    <row r="105" spans="1:68" s="91" customFormat="1" ht="25.5" customHeight="1">
      <c r="A105" s="92"/>
      <c r="B105" s="93"/>
      <c r="C105" s="93"/>
      <c r="D105" s="93"/>
      <c r="E105" s="93"/>
      <c r="F105" s="93"/>
      <c r="G105" s="93"/>
      <c r="H105" s="94"/>
      <c r="I105" s="94"/>
      <c r="J105" s="94"/>
      <c r="K105" s="94"/>
      <c r="L105" s="93"/>
      <c r="M105" s="95"/>
      <c r="N105" s="95"/>
      <c r="O105" s="93"/>
      <c r="P105" s="93"/>
      <c r="Q105" s="96"/>
      <c r="R105" s="96"/>
      <c r="S105" s="96"/>
      <c r="T105" s="93"/>
      <c r="U105" s="96"/>
      <c r="V105" s="96"/>
      <c r="W105" s="96"/>
      <c r="X105" s="96"/>
      <c r="Y105" s="96"/>
      <c r="Z105" s="96"/>
      <c r="AA105" s="96"/>
      <c r="AB105" s="96"/>
      <c r="AC105" s="97"/>
      <c r="AD105" s="98"/>
      <c r="AE105" s="98"/>
      <c r="AF105" s="99"/>
      <c r="AG105" s="98"/>
      <c r="AH105" s="98"/>
      <c r="AI105" s="92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49"/>
      <c r="AV105" s="249"/>
      <c r="AW105" s="239"/>
      <c r="AX105" s="239"/>
      <c r="AY105" s="281"/>
      <c r="AZ105" s="281"/>
      <c r="BA105" s="281"/>
      <c r="BB105" s="239"/>
      <c r="BC105" s="281"/>
      <c r="BD105" s="281"/>
      <c r="BE105" s="281"/>
      <c r="BF105" s="281"/>
      <c r="BG105" s="281"/>
      <c r="BH105" s="281"/>
      <c r="BI105" s="281"/>
      <c r="BJ105" s="281"/>
      <c r="BK105" s="282"/>
      <c r="BL105" s="282"/>
      <c r="BM105" s="282"/>
      <c r="BN105" s="282"/>
      <c r="BO105" s="282"/>
      <c r="BP105" s="285"/>
    </row>
    <row r="106" spans="1:68" s="91" customFormat="1" ht="25.5" customHeight="1">
      <c r="A106" s="92"/>
      <c r="B106" s="93"/>
      <c r="C106" s="93"/>
      <c r="D106" s="93"/>
      <c r="E106" s="93"/>
      <c r="F106" s="93"/>
      <c r="G106" s="93"/>
      <c r="H106" s="94"/>
      <c r="I106" s="94"/>
      <c r="J106" s="94"/>
      <c r="K106" s="94"/>
      <c r="L106" s="93"/>
      <c r="M106" s="95"/>
      <c r="N106" s="95"/>
      <c r="O106" s="93"/>
      <c r="P106" s="93"/>
      <c r="Q106" s="96"/>
      <c r="R106" s="96"/>
      <c r="S106" s="96"/>
      <c r="T106" s="93"/>
      <c r="U106" s="96"/>
      <c r="V106" s="96"/>
      <c r="W106" s="96"/>
      <c r="X106" s="96"/>
      <c r="Y106" s="96"/>
      <c r="Z106" s="96"/>
      <c r="AA106" s="96"/>
      <c r="AB106" s="96"/>
      <c r="AC106" s="97"/>
      <c r="AD106" s="98"/>
      <c r="AE106" s="98"/>
      <c r="AF106" s="99"/>
      <c r="AG106" s="98"/>
      <c r="AH106" s="98"/>
      <c r="AI106" s="92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49"/>
      <c r="AV106" s="249"/>
      <c r="AW106" s="239"/>
      <c r="AX106" s="239"/>
      <c r="AY106" s="281"/>
      <c r="AZ106" s="281"/>
      <c r="BA106" s="281"/>
      <c r="BB106" s="239"/>
      <c r="BC106" s="281"/>
      <c r="BD106" s="281"/>
      <c r="BE106" s="281"/>
      <c r="BF106" s="281"/>
      <c r="BG106" s="281"/>
      <c r="BH106" s="281"/>
      <c r="BI106" s="281"/>
      <c r="BJ106" s="281"/>
      <c r="BK106" s="282"/>
      <c r="BL106" s="282"/>
      <c r="BM106" s="282"/>
      <c r="BN106" s="282"/>
      <c r="BO106" s="282"/>
      <c r="BP106" s="285"/>
    </row>
    <row r="107" spans="1:68" s="91" customFormat="1" ht="25.5" customHeight="1">
      <c r="A107" s="92"/>
      <c r="B107" s="93"/>
      <c r="C107" s="93"/>
      <c r="D107" s="93"/>
      <c r="E107" s="93"/>
      <c r="F107" s="93"/>
      <c r="G107" s="93"/>
      <c r="H107" s="94"/>
      <c r="I107" s="94"/>
      <c r="J107" s="94"/>
      <c r="K107" s="94"/>
      <c r="L107" s="93"/>
      <c r="M107" s="95"/>
      <c r="N107" s="95"/>
      <c r="O107" s="93"/>
      <c r="P107" s="93"/>
      <c r="Q107" s="96"/>
      <c r="R107" s="96"/>
      <c r="S107" s="96"/>
      <c r="T107" s="93"/>
      <c r="U107" s="96"/>
      <c r="V107" s="96"/>
      <c r="W107" s="96"/>
      <c r="X107" s="96"/>
      <c r="Y107" s="96"/>
      <c r="Z107" s="96"/>
      <c r="AA107" s="96"/>
      <c r="AB107" s="96"/>
      <c r="AC107" s="97"/>
      <c r="AD107" s="98"/>
      <c r="AE107" s="98"/>
      <c r="AF107" s="99"/>
      <c r="AG107" s="98"/>
      <c r="AH107" s="98"/>
      <c r="AI107" s="92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49"/>
      <c r="AV107" s="249"/>
      <c r="AW107" s="239"/>
      <c r="AX107" s="239"/>
      <c r="AY107" s="281"/>
      <c r="AZ107" s="281"/>
      <c r="BA107" s="281"/>
      <c r="BB107" s="239"/>
      <c r="BC107" s="281"/>
      <c r="BD107" s="281"/>
      <c r="BE107" s="281"/>
      <c r="BF107" s="281"/>
      <c r="BG107" s="281"/>
      <c r="BH107" s="281"/>
      <c r="BI107" s="281"/>
      <c r="BJ107" s="281"/>
      <c r="BK107" s="282"/>
      <c r="BL107" s="282"/>
      <c r="BM107" s="282"/>
      <c r="BN107" s="282"/>
      <c r="BO107" s="282"/>
      <c r="BP107" s="285"/>
    </row>
    <row r="108" spans="1:68" s="91" customFormat="1" ht="25.5" customHeight="1">
      <c r="A108" s="92"/>
      <c r="B108" s="93"/>
      <c r="C108" s="93"/>
      <c r="D108" s="93"/>
      <c r="E108" s="93"/>
      <c r="F108" s="93"/>
      <c r="G108" s="93"/>
      <c r="H108" s="94"/>
      <c r="I108" s="94"/>
      <c r="J108" s="94"/>
      <c r="K108" s="94"/>
      <c r="L108" s="93"/>
      <c r="M108" s="95"/>
      <c r="N108" s="95"/>
      <c r="O108" s="93"/>
      <c r="P108" s="93"/>
      <c r="Q108" s="96"/>
      <c r="R108" s="96"/>
      <c r="S108" s="96"/>
      <c r="T108" s="93"/>
      <c r="U108" s="96"/>
      <c r="V108" s="96"/>
      <c r="W108" s="96"/>
      <c r="X108" s="96"/>
      <c r="Y108" s="96"/>
      <c r="Z108" s="96"/>
      <c r="AA108" s="96"/>
      <c r="AB108" s="96"/>
      <c r="AC108" s="97"/>
      <c r="AD108" s="98"/>
      <c r="AE108" s="98"/>
      <c r="AF108" s="99"/>
      <c r="AG108" s="98"/>
      <c r="AH108" s="98"/>
      <c r="AI108" s="92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49"/>
      <c r="AV108" s="249"/>
      <c r="AW108" s="239"/>
      <c r="AX108" s="239"/>
      <c r="AY108" s="281"/>
      <c r="AZ108" s="281"/>
      <c r="BA108" s="281"/>
      <c r="BB108" s="239"/>
      <c r="BC108" s="281"/>
      <c r="BD108" s="281"/>
      <c r="BE108" s="281"/>
      <c r="BF108" s="281"/>
      <c r="BG108" s="281"/>
      <c r="BH108" s="281"/>
      <c r="BI108" s="281"/>
      <c r="BJ108" s="281"/>
      <c r="BK108" s="282"/>
      <c r="BL108" s="282"/>
      <c r="BM108" s="282"/>
      <c r="BN108" s="282"/>
      <c r="BO108" s="282"/>
      <c r="BP108" s="285"/>
    </row>
    <row r="109" spans="1:68" s="91" customFormat="1" ht="25.5" customHeight="1">
      <c r="A109" s="92"/>
      <c r="B109" s="93"/>
      <c r="C109" s="93"/>
      <c r="D109" s="93"/>
      <c r="E109" s="93"/>
      <c r="F109" s="93"/>
      <c r="G109" s="93"/>
      <c r="H109" s="94"/>
      <c r="I109" s="94"/>
      <c r="J109" s="94"/>
      <c r="K109" s="94"/>
      <c r="L109" s="93"/>
      <c r="M109" s="95"/>
      <c r="N109" s="95"/>
      <c r="O109" s="93"/>
      <c r="P109" s="93"/>
      <c r="Q109" s="96"/>
      <c r="R109" s="96"/>
      <c r="S109" s="96"/>
      <c r="T109" s="93"/>
      <c r="U109" s="96"/>
      <c r="V109" s="96"/>
      <c r="W109" s="96"/>
      <c r="X109" s="96"/>
      <c r="Y109" s="96"/>
      <c r="Z109" s="96"/>
      <c r="AA109" s="96"/>
      <c r="AB109" s="96"/>
      <c r="AC109" s="97"/>
      <c r="AD109" s="98"/>
      <c r="AE109" s="98"/>
      <c r="AF109" s="99"/>
      <c r="AG109" s="98"/>
      <c r="AH109" s="98"/>
      <c r="AI109" s="92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49"/>
      <c r="AV109" s="249"/>
      <c r="AW109" s="239"/>
      <c r="AX109" s="239"/>
      <c r="AY109" s="281"/>
      <c r="AZ109" s="281"/>
      <c r="BA109" s="281"/>
      <c r="BB109" s="239"/>
      <c r="BC109" s="281"/>
      <c r="BD109" s="281"/>
      <c r="BE109" s="281"/>
      <c r="BF109" s="281"/>
      <c r="BG109" s="281"/>
      <c r="BH109" s="281"/>
      <c r="BI109" s="281"/>
      <c r="BJ109" s="281"/>
      <c r="BK109" s="282"/>
      <c r="BL109" s="282"/>
      <c r="BM109" s="282"/>
      <c r="BN109" s="282"/>
      <c r="BO109" s="282"/>
      <c r="BP109" s="285"/>
    </row>
    <row r="110" spans="36:68" ht="25.5" customHeight="1"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49"/>
      <c r="AV110" s="249"/>
      <c r="AW110" s="239"/>
      <c r="AX110" s="239"/>
      <c r="AY110" s="281"/>
      <c r="AZ110" s="281"/>
      <c r="BA110" s="281"/>
      <c r="BB110" s="239"/>
      <c r="BC110" s="281"/>
      <c r="BD110" s="281"/>
      <c r="BE110" s="281"/>
      <c r="BF110" s="281"/>
      <c r="BG110" s="281"/>
      <c r="BH110" s="281"/>
      <c r="BI110" s="281"/>
      <c r="BJ110" s="281"/>
      <c r="BK110" s="282"/>
      <c r="BL110" s="282"/>
      <c r="BM110" s="282"/>
      <c r="BN110" s="282"/>
      <c r="BO110" s="282"/>
      <c r="BP110" s="285"/>
    </row>
    <row r="111" spans="36:68" ht="25.5" customHeight="1"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49"/>
      <c r="AV111" s="249"/>
      <c r="AW111" s="239"/>
      <c r="AX111" s="239"/>
      <c r="AY111" s="281"/>
      <c r="AZ111" s="281"/>
      <c r="BA111" s="281"/>
      <c r="BB111" s="239"/>
      <c r="BC111" s="281"/>
      <c r="BD111" s="281"/>
      <c r="BE111" s="281"/>
      <c r="BF111" s="281"/>
      <c r="BG111" s="281"/>
      <c r="BH111" s="281"/>
      <c r="BI111" s="281"/>
      <c r="BJ111" s="281"/>
      <c r="BK111" s="282"/>
      <c r="BL111" s="282"/>
      <c r="BM111" s="282"/>
      <c r="BN111" s="282"/>
      <c r="BO111" s="282"/>
      <c r="BP111" s="285"/>
    </row>
    <row r="112" spans="36:68" ht="25.5" customHeight="1"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49"/>
      <c r="AV112" s="249"/>
      <c r="AW112" s="239"/>
      <c r="AX112" s="239"/>
      <c r="AY112" s="281"/>
      <c r="AZ112" s="281"/>
      <c r="BA112" s="281"/>
      <c r="BB112" s="239"/>
      <c r="BC112" s="281"/>
      <c r="BD112" s="281"/>
      <c r="BE112" s="281"/>
      <c r="BF112" s="281"/>
      <c r="BG112" s="281"/>
      <c r="BH112" s="281"/>
      <c r="BI112" s="281"/>
      <c r="BJ112" s="281"/>
      <c r="BK112" s="282"/>
      <c r="BL112" s="282"/>
      <c r="BM112" s="282"/>
      <c r="BN112" s="282"/>
      <c r="BO112" s="282"/>
      <c r="BP112" s="285"/>
    </row>
    <row r="113" spans="36:68" ht="25.5" customHeight="1"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49"/>
      <c r="AV113" s="249"/>
      <c r="AW113" s="239"/>
      <c r="AX113" s="239"/>
      <c r="AY113" s="281"/>
      <c r="AZ113" s="281"/>
      <c r="BA113" s="281"/>
      <c r="BB113" s="239"/>
      <c r="BC113" s="281"/>
      <c r="BD113" s="281"/>
      <c r="BE113" s="281"/>
      <c r="BF113" s="281"/>
      <c r="BG113" s="281"/>
      <c r="BH113" s="281"/>
      <c r="BI113" s="281"/>
      <c r="BJ113" s="281"/>
      <c r="BK113" s="282"/>
      <c r="BL113" s="282"/>
      <c r="BM113" s="282"/>
      <c r="BN113" s="282"/>
      <c r="BO113" s="282"/>
      <c r="BP113" s="285"/>
    </row>
    <row r="114" spans="36:68" ht="25.5" customHeight="1"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49"/>
      <c r="AV114" s="249"/>
      <c r="AW114" s="239"/>
      <c r="AX114" s="239"/>
      <c r="AY114" s="281"/>
      <c r="AZ114" s="281"/>
      <c r="BA114" s="281"/>
      <c r="BB114" s="239"/>
      <c r="BC114" s="281"/>
      <c r="BD114" s="281"/>
      <c r="BE114" s="281"/>
      <c r="BF114" s="281"/>
      <c r="BG114" s="281"/>
      <c r="BH114" s="281"/>
      <c r="BI114" s="281"/>
      <c r="BJ114" s="281"/>
      <c r="BK114" s="282"/>
      <c r="BL114" s="282"/>
      <c r="BM114" s="282"/>
      <c r="BN114" s="282"/>
      <c r="BO114" s="282"/>
      <c r="BP114" s="285"/>
    </row>
    <row r="115" spans="36:68" ht="25.5" customHeight="1"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49"/>
      <c r="AV115" s="249"/>
      <c r="AW115" s="239"/>
      <c r="AX115" s="239"/>
      <c r="AY115" s="281"/>
      <c r="AZ115" s="281"/>
      <c r="BA115" s="281"/>
      <c r="BB115" s="239"/>
      <c r="BC115" s="281"/>
      <c r="BD115" s="281"/>
      <c r="BE115" s="281"/>
      <c r="BF115" s="281"/>
      <c r="BG115" s="281"/>
      <c r="BH115" s="281"/>
      <c r="BI115" s="281"/>
      <c r="BJ115" s="281"/>
      <c r="BK115" s="282"/>
      <c r="BL115" s="282"/>
      <c r="BM115" s="282"/>
      <c r="BN115" s="282"/>
      <c r="BO115" s="282"/>
      <c r="BP115" s="285"/>
    </row>
    <row r="116" spans="36:68" ht="25.5" customHeight="1"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249"/>
      <c r="AV116" s="249"/>
      <c r="AW116" s="239"/>
      <c r="AX116" s="239"/>
      <c r="AY116" s="281"/>
      <c r="AZ116" s="281"/>
      <c r="BA116" s="281"/>
      <c r="BB116" s="239"/>
      <c r="BC116" s="281"/>
      <c r="BD116" s="281"/>
      <c r="BE116" s="281"/>
      <c r="BF116" s="281"/>
      <c r="BG116" s="281"/>
      <c r="BH116" s="281"/>
      <c r="BI116" s="281"/>
      <c r="BJ116" s="281"/>
      <c r="BK116" s="282"/>
      <c r="BL116" s="282"/>
      <c r="BM116" s="282"/>
      <c r="BN116" s="282"/>
      <c r="BO116" s="282"/>
      <c r="BP116" s="285"/>
    </row>
    <row r="117" spans="36:68" ht="25.5" customHeight="1">
      <c r="AJ117" s="239"/>
      <c r="AK117" s="239"/>
      <c r="AL117" s="239"/>
      <c r="AM117" s="239"/>
      <c r="AN117" s="239"/>
      <c r="AO117" s="239"/>
      <c r="AP117" s="239"/>
      <c r="AQ117" s="239"/>
      <c r="AR117" s="239"/>
      <c r="AS117" s="239"/>
      <c r="AT117" s="239"/>
      <c r="AU117" s="249"/>
      <c r="AV117" s="249"/>
      <c r="AW117" s="239"/>
      <c r="AX117" s="239"/>
      <c r="AY117" s="281"/>
      <c r="AZ117" s="281"/>
      <c r="BA117" s="281"/>
      <c r="BB117" s="239"/>
      <c r="BC117" s="281"/>
      <c r="BD117" s="281"/>
      <c r="BE117" s="281"/>
      <c r="BF117" s="281"/>
      <c r="BG117" s="281"/>
      <c r="BH117" s="281"/>
      <c r="BI117" s="281"/>
      <c r="BJ117" s="281"/>
      <c r="BK117" s="282"/>
      <c r="BL117" s="282"/>
      <c r="BM117" s="282"/>
      <c r="BN117" s="282"/>
      <c r="BO117" s="282"/>
      <c r="BP117" s="285"/>
    </row>
    <row r="118" spans="36:68" ht="25.5" customHeight="1"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49"/>
      <c r="AV118" s="249"/>
      <c r="AW118" s="239"/>
      <c r="AX118" s="239"/>
      <c r="AY118" s="281"/>
      <c r="AZ118" s="281"/>
      <c r="BA118" s="281"/>
      <c r="BB118" s="239"/>
      <c r="BC118" s="281"/>
      <c r="BD118" s="281"/>
      <c r="BE118" s="281"/>
      <c r="BF118" s="281"/>
      <c r="BG118" s="281"/>
      <c r="BH118" s="281"/>
      <c r="BI118" s="281"/>
      <c r="BJ118" s="281"/>
      <c r="BK118" s="282"/>
      <c r="BL118" s="282"/>
      <c r="BM118" s="282"/>
      <c r="BN118" s="282"/>
      <c r="BO118" s="282"/>
      <c r="BP118" s="285"/>
    </row>
    <row r="119" spans="36:68" ht="25.5" customHeight="1"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49"/>
      <c r="AV119" s="249"/>
      <c r="AW119" s="239"/>
      <c r="AX119" s="239"/>
      <c r="AY119" s="281"/>
      <c r="AZ119" s="281"/>
      <c r="BA119" s="281"/>
      <c r="BB119" s="239"/>
      <c r="BC119" s="281"/>
      <c r="BD119" s="281"/>
      <c r="BE119" s="281"/>
      <c r="BF119" s="281"/>
      <c r="BG119" s="281"/>
      <c r="BH119" s="281"/>
      <c r="BI119" s="281"/>
      <c r="BJ119" s="281"/>
      <c r="BK119" s="282"/>
      <c r="BL119" s="282"/>
      <c r="BM119" s="282"/>
      <c r="BN119" s="282"/>
      <c r="BO119" s="282"/>
      <c r="BP119" s="285"/>
    </row>
    <row r="120" spans="36:68" ht="25.5" customHeight="1"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49"/>
      <c r="AV120" s="249"/>
      <c r="AW120" s="239"/>
      <c r="AX120" s="239"/>
      <c r="AY120" s="281"/>
      <c r="AZ120" s="281"/>
      <c r="BA120" s="281"/>
      <c r="BB120" s="239"/>
      <c r="BC120" s="281"/>
      <c r="BD120" s="281"/>
      <c r="BE120" s="281"/>
      <c r="BF120" s="281"/>
      <c r="BG120" s="281"/>
      <c r="BH120" s="281"/>
      <c r="BI120" s="281"/>
      <c r="BJ120" s="281"/>
      <c r="BK120" s="282"/>
      <c r="BL120" s="282"/>
      <c r="BM120" s="282"/>
      <c r="BN120" s="282"/>
      <c r="BO120" s="282"/>
      <c r="BP120" s="285"/>
    </row>
    <row r="121" spans="36:68" ht="25.5" customHeight="1"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49"/>
      <c r="AV121" s="249"/>
      <c r="AW121" s="239"/>
      <c r="AX121" s="239"/>
      <c r="AY121" s="281"/>
      <c r="AZ121" s="281"/>
      <c r="BA121" s="281"/>
      <c r="BB121" s="239"/>
      <c r="BC121" s="281"/>
      <c r="BD121" s="281"/>
      <c r="BE121" s="281"/>
      <c r="BF121" s="281"/>
      <c r="BG121" s="281"/>
      <c r="BH121" s="281"/>
      <c r="BI121" s="281"/>
      <c r="BJ121" s="281"/>
      <c r="BK121" s="282"/>
      <c r="BL121" s="282"/>
      <c r="BM121" s="282"/>
      <c r="BN121" s="282"/>
      <c r="BO121" s="282"/>
      <c r="BP121" s="285"/>
    </row>
    <row r="122" spans="36:68" ht="25.5" customHeight="1">
      <c r="AJ122" s="239"/>
      <c r="AK122" s="239"/>
      <c r="AL122" s="239"/>
      <c r="AM122" s="239"/>
      <c r="AN122" s="239"/>
      <c r="AO122" s="239"/>
      <c r="AP122" s="239"/>
      <c r="AQ122" s="239"/>
      <c r="AR122" s="239"/>
      <c r="AS122" s="239"/>
      <c r="AT122" s="239"/>
      <c r="AU122" s="249"/>
      <c r="AV122" s="249"/>
      <c r="AW122" s="239"/>
      <c r="AX122" s="239"/>
      <c r="AY122" s="281"/>
      <c r="AZ122" s="281"/>
      <c r="BA122" s="281"/>
      <c r="BB122" s="239"/>
      <c r="BC122" s="281"/>
      <c r="BD122" s="281"/>
      <c r="BE122" s="281"/>
      <c r="BF122" s="281"/>
      <c r="BG122" s="281"/>
      <c r="BH122" s="281"/>
      <c r="BI122" s="281"/>
      <c r="BJ122" s="281"/>
      <c r="BK122" s="282"/>
      <c r="BL122" s="282"/>
      <c r="BM122" s="282"/>
      <c r="BN122" s="282"/>
      <c r="BO122" s="282"/>
      <c r="BP122" s="285"/>
    </row>
    <row r="123" spans="36:68" ht="25.5" customHeight="1">
      <c r="AJ123" s="239"/>
      <c r="AK123" s="239"/>
      <c r="AL123" s="239"/>
      <c r="AM123" s="239"/>
      <c r="AN123" s="239"/>
      <c r="AO123" s="239"/>
      <c r="AP123" s="239"/>
      <c r="AQ123" s="239"/>
      <c r="AR123" s="239"/>
      <c r="AS123" s="239"/>
      <c r="AT123" s="239"/>
      <c r="AU123" s="249"/>
      <c r="AV123" s="249"/>
      <c r="AW123" s="239"/>
      <c r="AX123" s="239"/>
      <c r="AY123" s="281"/>
      <c r="AZ123" s="281"/>
      <c r="BA123" s="281"/>
      <c r="BB123" s="239"/>
      <c r="BC123" s="281"/>
      <c r="BD123" s="281"/>
      <c r="BE123" s="281"/>
      <c r="BF123" s="281"/>
      <c r="BG123" s="281"/>
      <c r="BH123" s="281"/>
      <c r="BI123" s="281"/>
      <c r="BJ123" s="281"/>
      <c r="BK123" s="282"/>
      <c r="BL123" s="282"/>
      <c r="BM123" s="282"/>
      <c r="BN123" s="282"/>
      <c r="BO123" s="282"/>
      <c r="BP123" s="285"/>
    </row>
    <row r="124" spans="36:68" ht="25.5" customHeight="1">
      <c r="AJ124" s="239"/>
      <c r="AK124" s="239"/>
      <c r="AL124" s="239"/>
      <c r="AM124" s="239"/>
      <c r="AN124" s="239"/>
      <c r="AO124" s="239"/>
      <c r="AP124" s="239"/>
      <c r="AQ124" s="239"/>
      <c r="AR124" s="239"/>
      <c r="AS124" s="239"/>
      <c r="AT124" s="239"/>
      <c r="AU124" s="249"/>
      <c r="AV124" s="249"/>
      <c r="AW124" s="239"/>
      <c r="AX124" s="239"/>
      <c r="AY124" s="281"/>
      <c r="AZ124" s="281"/>
      <c r="BA124" s="281"/>
      <c r="BB124" s="239"/>
      <c r="BC124" s="281"/>
      <c r="BD124" s="281"/>
      <c r="BE124" s="281"/>
      <c r="BF124" s="281"/>
      <c r="BG124" s="281"/>
      <c r="BH124" s="281"/>
      <c r="BI124" s="281"/>
      <c r="BJ124" s="281"/>
      <c r="BK124" s="282"/>
      <c r="BL124" s="282"/>
      <c r="BM124" s="282"/>
      <c r="BN124" s="282"/>
      <c r="BO124" s="282"/>
      <c r="BP124" s="285"/>
    </row>
    <row r="125" spans="36:68" ht="25.5" customHeight="1">
      <c r="AJ125" s="239"/>
      <c r="AK125" s="239"/>
      <c r="AL125" s="239"/>
      <c r="AM125" s="239"/>
      <c r="AN125" s="239"/>
      <c r="AO125" s="239"/>
      <c r="AP125" s="239"/>
      <c r="AQ125" s="239"/>
      <c r="AR125" s="239"/>
      <c r="AS125" s="239"/>
      <c r="AT125" s="239"/>
      <c r="AU125" s="249"/>
      <c r="AV125" s="249"/>
      <c r="AW125" s="239"/>
      <c r="AX125" s="239"/>
      <c r="AY125" s="281"/>
      <c r="AZ125" s="281"/>
      <c r="BA125" s="281"/>
      <c r="BB125" s="239"/>
      <c r="BC125" s="281"/>
      <c r="BD125" s="281"/>
      <c r="BE125" s="281"/>
      <c r="BF125" s="281"/>
      <c r="BG125" s="281"/>
      <c r="BH125" s="281"/>
      <c r="BI125" s="281"/>
      <c r="BJ125" s="281"/>
      <c r="BK125" s="282"/>
      <c r="BL125" s="282"/>
      <c r="BM125" s="282"/>
      <c r="BN125" s="282"/>
      <c r="BO125" s="282"/>
      <c r="BP125" s="285"/>
    </row>
    <row r="126" spans="36:68" ht="25.5" customHeight="1">
      <c r="AJ126" s="239"/>
      <c r="AK126" s="239"/>
      <c r="AL126" s="239"/>
      <c r="AM126" s="239"/>
      <c r="AN126" s="239"/>
      <c r="AO126" s="239"/>
      <c r="AP126" s="239"/>
      <c r="AQ126" s="239"/>
      <c r="AR126" s="239"/>
      <c r="AS126" s="239"/>
      <c r="AT126" s="239"/>
      <c r="AU126" s="249"/>
      <c r="AV126" s="249"/>
      <c r="AW126" s="239"/>
      <c r="AX126" s="239"/>
      <c r="AY126" s="281"/>
      <c r="AZ126" s="281"/>
      <c r="BA126" s="281"/>
      <c r="BB126" s="239"/>
      <c r="BC126" s="281"/>
      <c r="BD126" s="281"/>
      <c r="BE126" s="281"/>
      <c r="BF126" s="281"/>
      <c r="BG126" s="281"/>
      <c r="BH126" s="281"/>
      <c r="BI126" s="281"/>
      <c r="BJ126" s="281"/>
      <c r="BK126" s="282"/>
      <c r="BL126" s="282"/>
      <c r="BM126" s="282"/>
      <c r="BN126" s="282"/>
      <c r="BO126" s="282"/>
      <c r="BP126" s="285"/>
    </row>
    <row r="127" spans="36:68" ht="25.5" customHeight="1">
      <c r="AJ127" s="239"/>
      <c r="AK127" s="239"/>
      <c r="AL127" s="239"/>
      <c r="AM127" s="239"/>
      <c r="AN127" s="239"/>
      <c r="AO127" s="239"/>
      <c r="AP127" s="239"/>
      <c r="AQ127" s="239"/>
      <c r="AR127" s="239"/>
      <c r="AS127" s="239"/>
      <c r="AT127" s="239"/>
      <c r="AU127" s="249"/>
      <c r="AV127" s="249"/>
      <c r="AW127" s="239"/>
      <c r="AX127" s="239"/>
      <c r="AY127" s="281"/>
      <c r="AZ127" s="281"/>
      <c r="BA127" s="281"/>
      <c r="BB127" s="239"/>
      <c r="BC127" s="281"/>
      <c r="BD127" s="281"/>
      <c r="BE127" s="281"/>
      <c r="BF127" s="281"/>
      <c r="BG127" s="281"/>
      <c r="BH127" s="281"/>
      <c r="BI127" s="281"/>
      <c r="BJ127" s="281"/>
      <c r="BK127" s="282"/>
      <c r="BL127" s="282"/>
      <c r="BM127" s="282"/>
      <c r="BN127" s="282"/>
      <c r="BO127" s="282"/>
      <c r="BP127" s="285"/>
    </row>
    <row r="128" spans="36:68" ht="25.5" customHeight="1">
      <c r="AJ128" s="239"/>
      <c r="AK128" s="239"/>
      <c r="AL128" s="239"/>
      <c r="AM128" s="239"/>
      <c r="AN128" s="239"/>
      <c r="AO128" s="239"/>
      <c r="AP128" s="239"/>
      <c r="AQ128" s="239"/>
      <c r="AR128" s="239"/>
      <c r="AS128" s="239"/>
      <c r="AT128" s="239"/>
      <c r="AU128" s="249"/>
      <c r="AV128" s="249"/>
      <c r="AW128" s="239"/>
      <c r="AX128" s="239"/>
      <c r="AY128" s="281"/>
      <c r="AZ128" s="281"/>
      <c r="BA128" s="281"/>
      <c r="BB128" s="239"/>
      <c r="BC128" s="281"/>
      <c r="BD128" s="281"/>
      <c r="BE128" s="281"/>
      <c r="BF128" s="281"/>
      <c r="BG128" s="281"/>
      <c r="BH128" s="281"/>
      <c r="BI128" s="281"/>
      <c r="BJ128" s="281"/>
      <c r="BK128" s="282"/>
      <c r="BL128" s="282"/>
      <c r="BM128" s="282"/>
      <c r="BN128" s="282"/>
      <c r="BO128" s="282"/>
      <c r="BP128" s="285"/>
    </row>
    <row r="129" spans="36:68" ht="25.5" customHeight="1"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49"/>
      <c r="AV129" s="249"/>
      <c r="AW129" s="239"/>
      <c r="AX129" s="239"/>
      <c r="AY129" s="281"/>
      <c r="AZ129" s="281"/>
      <c r="BA129" s="281"/>
      <c r="BB129" s="239"/>
      <c r="BC129" s="281"/>
      <c r="BD129" s="281"/>
      <c r="BE129" s="281"/>
      <c r="BF129" s="281"/>
      <c r="BG129" s="281"/>
      <c r="BH129" s="281"/>
      <c r="BI129" s="281"/>
      <c r="BJ129" s="281"/>
      <c r="BK129" s="282"/>
      <c r="BL129" s="282"/>
      <c r="BM129" s="282"/>
      <c r="BN129" s="282"/>
      <c r="BO129" s="282"/>
      <c r="BP129" s="285"/>
    </row>
    <row r="130" spans="36:68" ht="25.5" customHeight="1"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49"/>
      <c r="AV130" s="249"/>
      <c r="AW130" s="239"/>
      <c r="AX130" s="239"/>
      <c r="AY130" s="281"/>
      <c r="AZ130" s="281"/>
      <c r="BA130" s="281"/>
      <c r="BB130" s="239"/>
      <c r="BC130" s="281"/>
      <c r="BD130" s="281"/>
      <c r="BE130" s="281"/>
      <c r="BF130" s="281"/>
      <c r="BG130" s="281"/>
      <c r="BH130" s="281"/>
      <c r="BI130" s="281"/>
      <c r="BJ130" s="281"/>
      <c r="BK130" s="282"/>
      <c r="BL130" s="282"/>
      <c r="BM130" s="282"/>
      <c r="BN130" s="282"/>
      <c r="BO130" s="282"/>
      <c r="BP130" s="285"/>
    </row>
    <row r="131" spans="36:68" ht="25.5" customHeight="1"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49"/>
      <c r="AV131" s="249"/>
      <c r="AW131" s="239"/>
      <c r="AX131" s="239"/>
      <c r="AY131" s="281"/>
      <c r="AZ131" s="281"/>
      <c r="BA131" s="281"/>
      <c r="BB131" s="239"/>
      <c r="BC131" s="281"/>
      <c r="BD131" s="281"/>
      <c r="BE131" s="281"/>
      <c r="BF131" s="281"/>
      <c r="BG131" s="281"/>
      <c r="BH131" s="281"/>
      <c r="BI131" s="281"/>
      <c r="BJ131" s="281"/>
      <c r="BK131" s="282"/>
      <c r="BL131" s="282"/>
      <c r="BM131" s="282"/>
      <c r="BN131" s="282"/>
      <c r="BO131" s="282"/>
      <c r="BP131" s="285"/>
    </row>
    <row r="132" spans="36:68" ht="25.5" customHeight="1">
      <c r="AJ132" s="239"/>
      <c r="AK132" s="239"/>
      <c r="AL132" s="239"/>
      <c r="AM132" s="239"/>
      <c r="AN132" s="239"/>
      <c r="AO132" s="239"/>
      <c r="AP132" s="239"/>
      <c r="AQ132" s="239"/>
      <c r="AR132" s="239"/>
      <c r="AS132" s="239"/>
      <c r="AT132" s="239"/>
      <c r="AU132" s="249"/>
      <c r="AV132" s="249"/>
      <c r="AW132" s="239"/>
      <c r="AX132" s="239"/>
      <c r="AY132" s="281"/>
      <c r="AZ132" s="281"/>
      <c r="BA132" s="281"/>
      <c r="BB132" s="239"/>
      <c r="BC132" s="281"/>
      <c r="BD132" s="281"/>
      <c r="BE132" s="281"/>
      <c r="BF132" s="281"/>
      <c r="BG132" s="281"/>
      <c r="BH132" s="281"/>
      <c r="BI132" s="281"/>
      <c r="BJ132" s="281"/>
      <c r="BK132" s="282"/>
      <c r="BL132" s="282"/>
      <c r="BM132" s="282"/>
      <c r="BN132" s="282"/>
      <c r="BO132" s="282"/>
      <c r="BP132" s="285"/>
    </row>
    <row r="133" spans="36:68" ht="25.5" customHeight="1"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49"/>
      <c r="AV133" s="249"/>
      <c r="AW133" s="239"/>
      <c r="AX133" s="239"/>
      <c r="AY133" s="281"/>
      <c r="AZ133" s="281"/>
      <c r="BA133" s="281"/>
      <c r="BB133" s="239"/>
      <c r="BC133" s="281"/>
      <c r="BD133" s="281"/>
      <c r="BE133" s="281"/>
      <c r="BF133" s="281"/>
      <c r="BG133" s="281"/>
      <c r="BH133" s="281"/>
      <c r="BI133" s="281"/>
      <c r="BJ133" s="281"/>
      <c r="BK133" s="282"/>
      <c r="BL133" s="282"/>
      <c r="BM133" s="282"/>
      <c r="BN133" s="282"/>
      <c r="BO133" s="282"/>
      <c r="BP133" s="285"/>
    </row>
    <row r="134" spans="36:68" ht="25.5" customHeight="1"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49"/>
      <c r="AV134" s="249"/>
      <c r="AW134" s="239"/>
      <c r="AX134" s="239"/>
      <c r="AY134" s="281"/>
      <c r="AZ134" s="281"/>
      <c r="BA134" s="281"/>
      <c r="BB134" s="239"/>
      <c r="BC134" s="281"/>
      <c r="BD134" s="281"/>
      <c r="BE134" s="281"/>
      <c r="BF134" s="281"/>
      <c r="BG134" s="281"/>
      <c r="BH134" s="281"/>
      <c r="BI134" s="281"/>
      <c r="BJ134" s="281"/>
      <c r="BK134" s="282"/>
      <c r="BL134" s="282"/>
      <c r="BM134" s="282"/>
      <c r="BN134" s="282"/>
      <c r="BO134" s="282"/>
      <c r="BP134" s="285"/>
    </row>
    <row r="135" spans="36:68" ht="25.5" customHeight="1">
      <c r="AJ135" s="239"/>
      <c r="AK135" s="239"/>
      <c r="AL135" s="239"/>
      <c r="AM135" s="239"/>
      <c r="AN135" s="239"/>
      <c r="AO135" s="239"/>
      <c r="AP135" s="239"/>
      <c r="AQ135" s="239"/>
      <c r="AR135" s="239"/>
      <c r="AS135" s="239"/>
      <c r="AT135" s="239"/>
      <c r="AU135" s="249"/>
      <c r="AV135" s="249"/>
      <c r="AW135" s="239"/>
      <c r="AX135" s="239"/>
      <c r="AY135" s="281"/>
      <c r="AZ135" s="281"/>
      <c r="BA135" s="281"/>
      <c r="BB135" s="239"/>
      <c r="BC135" s="281"/>
      <c r="BD135" s="281"/>
      <c r="BE135" s="281"/>
      <c r="BF135" s="281"/>
      <c r="BG135" s="281"/>
      <c r="BH135" s="281"/>
      <c r="BI135" s="281"/>
      <c r="BJ135" s="281"/>
      <c r="BK135" s="282"/>
      <c r="BL135" s="282"/>
      <c r="BM135" s="282"/>
      <c r="BN135" s="282"/>
      <c r="BO135" s="282"/>
      <c r="BP135" s="285"/>
    </row>
    <row r="136" spans="36:68" ht="25.5" customHeight="1"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49"/>
      <c r="AV136" s="249"/>
      <c r="AW136" s="239"/>
      <c r="AX136" s="239"/>
      <c r="AY136" s="281"/>
      <c r="AZ136" s="281"/>
      <c r="BA136" s="281"/>
      <c r="BB136" s="239"/>
      <c r="BC136" s="281"/>
      <c r="BD136" s="281"/>
      <c r="BE136" s="281"/>
      <c r="BF136" s="281"/>
      <c r="BG136" s="281"/>
      <c r="BH136" s="281"/>
      <c r="BI136" s="281"/>
      <c r="BJ136" s="281"/>
      <c r="BK136" s="282"/>
      <c r="BL136" s="282"/>
      <c r="BM136" s="282"/>
      <c r="BN136" s="282"/>
      <c r="BO136" s="282"/>
      <c r="BP136" s="285"/>
    </row>
    <row r="137" spans="36:68" ht="25.5" customHeight="1">
      <c r="AJ137" s="239"/>
      <c r="AK137" s="239"/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49"/>
      <c r="AV137" s="249"/>
      <c r="AW137" s="239"/>
      <c r="AX137" s="239"/>
      <c r="AY137" s="281"/>
      <c r="AZ137" s="281"/>
      <c r="BA137" s="281"/>
      <c r="BB137" s="239"/>
      <c r="BC137" s="281"/>
      <c r="BD137" s="281"/>
      <c r="BE137" s="281"/>
      <c r="BF137" s="281"/>
      <c r="BG137" s="281"/>
      <c r="BH137" s="281"/>
      <c r="BI137" s="281"/>
      <c r="BJ137" s="281"/>
      <c r="BK137" s="282"/>
      <c r="BL137" s="282"/>
      <c r="BM137" s="282"/>
      <c r="BN137" s="282"/>
      <c r="BO137" s="282"/>
      <c r="BP137" s="285"/>
    </row>
    <row r="138" spans="36:68" ht="25.5" customHeight="1"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49"/>
      <c r="AV138" s="249"/>
      <c r="AW138" s="239"/>
      <c r="AX138" s="239"/>
      <c r="AY138" s="281"/>
      <c r="AZ138" s="281"/>
      <c r="BA138" s="281"/>
      <c r="BB138" s="239"/>
      <c r="BC138" s="281"/>
      <c r="BD138" s="281"/>
      <c r="BE138" s="281"/>
      <c r="BF138" s="281"/>
      <c r="BG138" s="281"/>
      <c r="BH138" s="281"/>
      <c r="BI138" s="281"/>
      <c r="BJ138" s="281"/>
      <c r="BK138" s="282"/>
      <c r="BL138" s="282"/>
      <c r="BM138" s="282"/>
      <c r="BN138" s="282"/>
      <c r="BO138" s="282"/>
      <c r="BP138" s="285"/>
    </row>
    <row r="139" spans="36:68" ht="25.5" customHeight="1"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49"/>
      <c r="AV139" s="249"/>
      <c r="AW139" s="239"/>
      <c r="AX139" s="239"/>
      <c r="AY139" s="281"/>
      <c r="AZ139" s="281"/>
      <c r="BA139" s="281"/>
      <c r="BB139" s="239"/>
      <c r="BC139" s="281"/>
      <c r="BD139" s="281"/>
      <c r="BE139" s="281"/>
      <c r="BF139" s="281"/>
      <c r="BG139" s="281"/>
      <c r="BH139" s="281"/>
      <c r="BI139" s="281"/>
      <c r="BJ139" s="281"/>
      <c r="BK139" s="282"/>
      <c r="BL139" s="282"/>
      <c r="BM139" s="282"/>
      <c r="BN139" s="282"/>
      <c r="BO139" s="282"/>
      <c r="BP139" s="285"/>
    </row>
    <row r="140" spans="36:68" ht="25.5" customHeight="1"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49"/>
      <c r="AV140" s="249"/>
      <c r="AW140" s="239"/>
      <c r="AX140" s="239"/>
      <c r="AY140" s="281"/>
      <c r="AZ140" s="281"/>
      <c r="BA140" s="281"/>
      <c r="BB140" s="239"/>
      <c r="BC140" s="281"/>
      <c r="BD140" s="281"/>
      <c r="BE140" s="281"/>
      <c r="BF140" s="281"/>
      <c r="BG140" s="281"/>
      <c r="BH140" s="281"/>
      <c r="BI140" s="281"/>
      <c r="BJ140" s="281"/>
      <c r="BK140" s="282"/>
      <c r="BL140" s="282"/>
      <c r="BM140" s="282"/>
      <c r="BN140" s="282"/>
      <c r="BO140" s="282"/>
      <c r="BP140" s="285"/>
    </row>
    <row r="141" spans="36:68" ht="25.5" customHeight="1"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239"/>
      <c r="AT141" s="239"/>
      <c r="AU141" s="249"/>
      <c r="AV141" s="249"/>
      <c r="AW141" s="239"/>
      <c r="AX141" s="239"/>
      <c r="AY141" s="281"/>
      <c r="AZ141" s="281"/>
      <c r="BA141" s="281"/>
      <c r="BB141" s="239"/>
      <c r="BC141" s="281"/>
      <c r="BD141" s="281"/>
      <c r="BE141" s="281"/>
      <c r="BF141" s="281"/>
      <c r="BG141" s="281"/>
      <c r="BH141" s="281"/>
      <c r="BI141" s="281"/>
      <c r="BJ141" s="281"/>
      <c r="BK141" s="282"/>
      <c r="BL141" s="282"/>
      <c r="BM141" s="282"/>
      <c r="BN141" s="282"/>
      <c r="BO141" s="282"/>
      <c r="BP141" s="285"/>
    </row>
    <row r="142" spans="36:68" ht="25.5" customHeight="1"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239"/>
      <c r="AT142" s="239"/>
      <c r="AU142" s="249"/>
      <c r="AV142" s="249"/>
      <c r="AW142" s="239"/>
      <c r="AX142" s="239"/>
      <c r="AY142" s="281"/>
      <c r="AZ142" s="281"/>
      <c r="BA142" s="281"/>
      <c r="BB142" s="239"/>
      <c r="BC142" s="281"/>
      <c r="BD142" s="281"/>
      <c r="BE142" s="281"/>
      <c r="BF142" s="281"/>
      <c r="BG142" s="281"/>
      <c r="BH142" s="281"/>
      <c r="BI142" s="281"/>
      <c r="BJ142" s="281"/>
      <c r="BK142" s="282"/>
      <c r="BL142" s="282"/>
      <c r="BM142" s="282"/>
      <c r="BN142" s="282"/>
      <c r="BO142" s="282"/>
      <c r="BP142" s="285"/>
    </row>
    <row r="143" spans="36:68" ht="25.5" customHeight="1"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49"/>
      <c r="AV143" s="249"/>
      <c r="AW143" s="239"/>
      <c r="AX143" s="239"/>
      <c r="AY143" s="281"/>
      <c r="AZ143" s="281"/>
      <c r="BA143" s="281"/>
      <c r="BB143" s="239"/>
      <c r="BC143" s="281"/>
      <c r="BD143" s="281"/>
      <c r="BE143" s="281"/>
      <c r="BF143" s="281"/>
      <c r="BG143" s="281"/>
      <c r="BH143" s="281"/>
      <c r="BI143" s="281"/>
      <c r="BJ143" s="281"/>
      <c r="BK143" s="282"/>
      <c r="BL143" s="282"/>
      <c r="BM143" s="282"/>
      <c r="BN143" s="282"/>
      <c r="BO143" s="282"/>
      <c r="BP143" s="285"/>
    </row>
    <row r="144" spans="36:68" ht="25.5" customHeight="1"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49"/>
      <c r="AV144" s="249"/>
      <c r="AW144" s="239"/>
      <c r="AX144" s="239"/>
      <c r="AY144" s="281"/>
      <c r="AZ144" s="281"/>
      <c r="BA144" s="281"/>
      <c r="BB144" s="239"/>
      <c r="BC144" s="281"/>
      <c r="BD144" s="281"/>
      <c r="BE144" s="281"/>
      <c r="BF144" s="281"/>
      <c r="BG144" s="281"/>
      <c r="BH144" s="281"/>
      <c r="BI144" s="281"/>
      <c r="BJ144" s="281"/>
      <c r="BK144" s="282"/>
      <c r="BL144" s="282"/>
      <c r="BM144" s="282"/>
      <c r="BN144" s="282"/>
      <c r="BO144" s="282"/>
      <c r="BP144" s="285"/>
    </row>
    <row r="145" spans="36:68" ht="25.5" customHeight="1"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49"/>
      <c r="AV145" s="249"/>
      <c r="AW145" s="239"/>
      <c r="AX145" s="239"/>
      <c r="AY145" s="281"/>
      <c r="AZ145" s="281"/>
      <c r="BA145" s="281"/>
      <c r="BB145" s="239"/>
      <c r="BC145" s="281"/>
      <c r="BD145" s="281"/>
      <c r="BE145" s="281"/>
      <c r="BF145" s="281"/>
      <c r="BG145" s="281"/>
      <c r="BH145" s="281"/>
      <c r="BI145" s="281"/>
      <c r="BJ145" s="281"/>
      <c r="BK145" s="282"/>
      <c r="BL145" s="282"/>
      <c r="BM145" s="282"/>
      <c r="BN145" s="282"/>
      <c r="BO145" s="282"/>
      <c r="BP145" s="285"/>
    </row>
    <row r="146" spans="36:68" ht="25.5" customHeight="1"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49"/>
      <c r="AV146" s="249"/>
      <c r="AW146" s="239"/>
      <c r="AX146" s="239"/>
      <c r="AY146" s="281"/>
      <c r="AZ146" s="281"/>
      <c r="BA146" s="281"/>
      <c r="BB146" s="239"/>
      <c r="BC146" s="281"/>
      <c r="BD146" s="281"/>
      <c r="BE146" s="281"/>
      <c r="BF146" s="281"/>
      <c r="BG146" s="281"/>
      <c r="BH146" s="281"/>
      <c r="BI146" s="281"/>
      <c r="BJ146" s="281"/>
      <c r="BK146" s="282"/>
      <c r="BL146" s="282"/>
      <c r="BM146" s="282"/>
      <c r="BN146" s="282"/>
      <c r="BO146" s="282"/>
      <c r="BP146" s="285"/>
    </row>
    <row r="147" spans="36:68" ht="25.5" customHeight="1"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49"/>
      <c r="AV147" s="249"/>
      <c r="AW147" s="239"/>
      <c r="AX147" s="239"/>
      <c r="AY147" s="281"/>
      <c r="AZ147" s="281"/>
      <c r="BA147" s="281"/>
      <c r="BB147" s="239"/>
      <c r="BC147" s="281"/>
      <c r="BD147" s="281"/>
      <c r="BE147" s="281"/>
      <c r="BF147" s="281"/>
      <c r="BG147" s="281"/>
      <c r="BH147" s="281"/>
      <c r="BI147" s="281"/>
      <c r="BJ147" s="281"/>
      <c r="BK147" s="282"/>
      <c r="BL147" s="282"/>
      <c r="BM147" s="282"/>
      <c r="BN147" s="282"/>
      <c r="BO147" s="282"/>
      <c r="BP147" s="285"/>
    </row>
    <row r="148" spans="36:68" ht="25.5" customHeight="1"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49"/>
      <c r="AV148" s="249"/>
      <c r="AW148" s="239"/>
      <c r="AX148" s="239"/>
      <c r="AY148" s="281"/>
      <c r="AZ148" s="281"/>
      <c r="BA148" s="281"/>
      <c r="BB148" s="239"/>
      <c r="BC148" s="281"/>
      <c r="BD148" s="281"/>
      <c r="BE148" s="281"/>
      <c r="BF148" s="281"/>
      <c r="BG148" s="281"/>
      <c r="BH148" s="281"/>
      <c r="BI148" s="281"/>
      <c r="BJ148" s="281"/>
      <c r="BK148" s="282"/>
      <c r="BL148" s="282"/>
      <c r="BM148" s="282"/>
      <c r="BN148" s="282"/>
      <c r="BO148" s="282"/>
      <c r="BP148" s="285"/>
    </row>
    <row r="149" spans="36:68" ht="25.5" customHeight="1"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49"/>
      <c r="AV149" s="249"/>
      <c r="AW149" s="239"/>
      <c r="AX149" s="239"/>
      <c r="AY149" s="281"/>
      <c r="AZ149" s="281"/>
      <c r="BA149" s="281"/>
      <c r="BB149" s="239"/>
      <c r="BC149" s="281"/>
      <c r="BD149" s="281"/>
      <c r="BE149" s="281"/>
      <c r="BF149" s="281"/>
      <c r="BG149" s="281"/>
      <c r="BH149" s="281"/>
      <c r="BI149" s="281"/>
      <c r="BJ149" s="281"/>
      <c r="BK149" s="282"/>
      <c r="BL149" s="282"/>
      <c r="BM149" s="282"/>
      <c r="BN149" s="282"/>
      <c r="BO149" s="282"/>
      <c r="BP149" s="285"/>
    </row>
    <row r="150" spans="36:68" ht="25.5" customHeight="1"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49"/>
      <c r="AV150" s="249"/>
      <c r="AW150" s="239"/>
      <c r="AX150" s="239"/>
      <c r="AY150" s="281"/>
      <c r="AZ150" s="281"/>
      <c r="BA150" s="281"/>
      <c r="BB150" s="239"/>
      <c r="BC150" s="281"/>
      <c r="BD150" s="281"/>
      <c r="BE150" s="281"/>
      <c r="BF150" s="281"/>
      <c r="BG150" s="281"/>
      <c r="BH150" s="281"/>
      <c r="BI150" s="281"/>
      <c r="BJ150" s="281"/>
      <c r="BK150" s="282"/>
      <c r="BL150" s="282"/>
      <c r="BM150" s="282"/>
      <c r="BN150" s="282"/>
      <c r="BO150" s="282"/>
      <c r="BP150" s="285"/>
    </row>
    <row r="151" spans="36:68" ht="25.5" customHeight="1"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49"/>
      <c r="AV151" s="249"/>
      <c r="AW151" s="239"/>
      <c r="AX151" s="239"/>
      <c r="AY151" s="281"/>
      <c r="AZ151" s="281"/>
      <c r="BA151" s="281"/>
      <c r="BB151" s="239"/>
      <c r="BC151" s="281"/>
      <c r="BD151" s="281"/>
      <c r="BE151" s="281"/>
      <c r="BF151" s="281"/>
      <c r="BG151" s="281"/>
      <c r="BH151" s="281"/>
      <c r="BI151" s="281"/>
      <c r="BJ151" s="281"/>
      <c r="BK151" s="282"/>
      <c r="BL151" s="282"/>
      <c r="BM151" s="282"/>
      <c r="BN151" s="282"/>
      <c r="BO151" s="282"/>
      <c r="BP151" s="285"/>
    </row>
    <row r="152" spans="36:68" ht="25.5" customHeight="1"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49"/>
      <c r="AV152" s="249"/>
      <c r="AW152" s="239"/>
      <c r="AX152" s="239"/>
      <c r="AY152" s="281"/>
      <c r="AZ152" s="281"/>
      <c r="BA152" s="281"/>
      <c r="BB152" s="239"/>
      <c r="BC152" s="281"/>
      <c r="BD152" s="281"/>
      <c r="BE152" s="281"/>
      <c r="BF152" s="281"/>
      <c r="BG152" s="281"/>
      <c r="BH152" s="281"/>
      <c r="BI152" s="281"/>
      <c r="BJ152" s="281"/>
      <c r="BK152" s="282"/>
      <c r="BL152" s="282"/>
      <c r="BM152" s="282"/>
      <c r="BN152" s="282"/>
      <c r="BO152" s="282"/>
      <c r="BP152" s="285"/>
    </row>
    <row r="153" spans="36:68" ht="25.5" customHeight="1"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49"/>
      <c r="AV153" s="249"/>
      <c r="AW153" s="239"/>
      <c r="AX153" s="239"/>
      <c r="AY153" s="281"/>
      <c r="AZ153" s="281"/>
      <c r="BA153" s="281"/>
      <c r="BB153" s="239"/>
      <c r="BC153" s="281"/>
      <c r="BD153" s="281"/>
      <c r="BE153" s="281"/>
      <c r="BF153" s="281"/>
      <c r="BG153" s="281"/>
      <c r="BH153" s="281"/>
      <c r="BI153" s="281"/>
      <c r="BJ153" s="281"/>
      <c r="BK153" s="282"/>
      <c r="BL153" s="282"/>
      <c r="BM153" s="282"/>
      <c r="BN153" s="282"/>
      <c r="BO153" s="282"/>
      <c r="BP153" s="285"/>
    </row>
    <row r="154" spans="36:68" ht="25.5" customHeight="1"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49"/>
      <c r="AV154" s="249"/>
      <c r="AW154" s="239"/>
      <c r="AX154" s="239"/>
      <c r="AY154" s="281"/>
      <c r="AZ154" s="281"/>
      <c r="BA154" s="281"/>
      <c r="BB154" s="239"/>
      <c r="BC154" s="281"/>
      <c r="BD154" s="281"/>
      <c r="BE154" s="281"/>
      <c r="BF154" s="281"/>
      <c r="BG154" s="281"/>
      <c r="BH154" s="281"/>
      <c r="BI154" s="281"/>
      <c r="BJ154" s="281"/>
      <c r="BK154" s="282"/>
      <c r="BL154" s="282"/>
      <c r="BM154" s="282"/>
      <c r="BN154" s="282"/>
      <c r="BO154" s="282"/>
      <c r="BP154" s="285"/>
    </row>
    <row r="155" spans="36:68" ht="25.5" customHeight="1"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49"/>
      <c r="AV155" s="249"/>
      <c r="AW155" s="239"/>
      <c r="AX155" s="239"/>
      <c r="AY155" s="281"/>
      <c r="AZ155" s="281"/>
      <c r="BA155" s="281"/>
      <c r="BB155" s="239"/>
      <c r="BC155" s="281"/>
      <c r="BD155" s="281"/>
      <c r="BE155" s="281"/>
      <c r="BF155" s="281"/>
      <c r="BG155" s="281"/>
      <c r="BH155" s="281"/>
      <c r="BI155" s="281"/>
      <c r="BJ155" s="281"/>
      <c r="BK155" s="282"/>
      <c r="BL155" s="282"/>
      <c r="BM155" s="282"/>
      <c r="BN155" s="282"/>
      <c r="BO155" s="282"/>
      <c r="BP155" s="285"/>
    </row>
    <row r="156" spans="36:68" ht="25.5" customHeight="1"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49"/>
      <c r="AV156" s="249"/>
      <c r="AW156" s="239"/>
      <c r="AX156" s="239"/>
      <c r="AY156" s="281"/>
      <c r="AZ156" s="281"/>
      <c r="BA156" s="281"/>
      <c r="BB156" s="239"/>
      <c r="BC156" s="281"/>
      <c r="BD156" s="281"/>
      <c r="BE156" s="281"/>
      <c r="BF156" s="281"/>
      <c r="BG156" s="281"/>
      <c r="BH156" s="281"/>
      <c r="BI156" s="281"/>
      <c r="BJ156" s="281"/>
      <c r="BK156" s="282"/>
      <c r="BL156" s="282"/>
      <c r="BM156" s="282"/>
      <c r="BN156" s="282"/>
      <c r="BO156" s="282"/>
      <c r="BP156" s="285"/>
    </row>
    <row r="157" spans="36:68" ht="25.5" customHeight="1"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49"/>
      <c r="AV157" s="249"/>
      <c r="AW157" s="239"/>
      <c r="AX157" s="239"/>
      <c r="AY157" s="281"/>
      <c r="AZ157" s="281"/>
      <c r="BA157" s="281"/>
      <c r="BB157" s="239"/>
      <c r="BC157" s="281"/>
      <c r="BD157" s="281"/>
      <c r="BE157" s="281"/>
      <c r="BF157" s="281"/>
      <c r="BG157" s="281"/>
      <c r="BH157" s="281"/>
      <c r="BI157" s="281"/>
      <c r="BJ157" s="281"/>
      <c r="BK157" s="282"/>
      <c r="BL157" s="282"/>
      <c r="BM157" s="282"/>
      <c r="BN157" s="282"/>
      <c r="BO157" s="282"/>
      <c r="BP157" s="285"/>
    </row>
    <row r="158" spans="36:68" ht="15.75">
      <c r="AJ158" s="239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49"/>
      <c r="AV158" s="249"/>
      <c r="AW158" s="239"/>
      <c r="AX158" s="239"/>
      <c r="AY158" s="281"/>
      <c r="AZ158" s="281"/>
      <c r="BA158" s="281"/>
      <c r="BB158" s="239"/>
      <c r="BC158" s="281"/>
      <c r="BD158" s="281"/>
      <c r="BE158" s="281"/>
      <c r="BF158" s="281"/>
      <c r="BG158" s="281"/>
      <c r="BH158" s="281"/>
      <c r="BI158" s="281"/>
      <c r="BJ158" s="281"/>
      <c r="BK158" s="282"/>
      <c r="BL158" s="282"/>
      <c r="BM158" s="282"/>
      <c r="BN158" s="282"/>
      <c r="BO158" s="282"/>
      <c r="BP158" s="285"/>
    </row>
    <row r="159" spans="36:68" ht="15.75">
      <c r="AJ159" s="239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49"/>
      <c r="AV159" s="249"/>
      <c r="AW159" s="239"/>
      <c r="AX159" s="239"/>
      <c r="AY159" s="281"/>
      <c r="AZ159" s="281"/>
      <c r="BA159" s="281"/>
      <c r="BB159" s="239"/>
      <c r="BC159" s="281"/>
      <c r="BD159" s="281"/>
      <c r="BE159" s="281"/>
      <c r="BF159" s="281"/>
      <c r="BG159" s="281"/>
      <c r="BH159" s="281"/>
      <c r="BI159" s="281"/>
      <c r="BJ159" s="281"/>
      <c r="BK159" s="282"/>
      <c r="BL159" s="282"/>
      <c r="BM159" s="282"/>
      <c r="BN159" s="282"/>
      <c r="BO159" s="282"/>
      <c r="BP159" s="285"/>
    </row>
    <row r="160" spans="36:68" ht="15.75"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49"/>
      <c r="AV160" s="249"/>
      <c r="AW160" s="239"/>
      <c r="AX160" s="239"/>
      <c r="AY160" s="281"/>
      <c r="AZ160" s="281"/>
      <c r="BA160" s="281"/>
      <c r="BB160" s="239"/>
      <c r="BC160" s="281"/>
      <c r="BD160" s="281"/>
      <c r="BE160" s="281"/>
      <c r="BF160" s="281"/>
      <c r="BG160" s="281"/>
      <c r="BH160" s="281"/>
      <c r="BI160" s="281"/>
      <c r="BJ160" s="281"/>
      <c r="BK160" s="282"/>
      <c r="BL160" s="282"/>
      <c r="BM160" s="282"/>
      <c r="BN160" s="282"/>
      <c r="BO160" s="282"/>
      <c r="BP160" s="285"/>
    </row>
    <row r="161" spans="36:68" ht="15.75"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49"/>
      <c r="AV161" s="249"/>
      <c r="AW161" s="239"/>
      <c r="AX161" s="239"/>
      <c r="AY161" s="281"/>
      <c r="AZ161" s="281"/>
      <c r="BA161" s="281"/>
      <c r="BB161" s="239"/>
      <c r="BC161" s="281"/>
      <c r="BD161" s="281"/>
      <c r="BE161" s="281"/>
      <c r="BF161" s="281"/>
      <c r="BG161" s="281"/>
      <c r="BH161" s="281"/>
      <c r="BI161" s="281"/>
      <c r="BJ161" s="281"/>
      <c r="BK161" s="282"/>
      <c r="BL161" s="282"/>
      <c r="BM161" s="282"/>
      <c r="BN161" s="282"/>
      <c r="BO161" s="282"/>
      <c r="BP161" s="285"/>
    </row>
    <row r="162" spans="36:68" ht="15.75"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49"/>
      <c r="AV162" s="249"/>
      <c r="AW162" s="239"/>
      <c r="AX162" s="239"/>
      <c r="AY162" s="281"/>
      <c r="AZ162" s="281"/>
      <c r="BA162" s="281"/>
      <c r="BB162" s="239"/>
      <c r="BC162" s="281"/>
      <c r="BD162" s="281"/>
      <c r="BE162" s="281"/>
      <c r="BF162" s="281"/>
      <c r="BG162" s="281"/>
      <c r="BH162" s="281"/>
      <c r="BI162" s="281"/>
      <c r="BJ162" s="281"/>
      <c r="BK162" s="282"/>
      <c r="BL162" s="282"/>
      <c r="BM162" s="282"/>
      <c r="BN162" s="282"/>
      <c r="BO162" s="282"/>
      <c r="BP162" s="285"/>
    </row>
    <row r="163" spans="36:68" ht="15.75"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49"/>
      <c r="AV163" s="249"/>
      <c r="AW163" s="239"/>
      <c r="AX163" s="239"/>
      <c r="AY163" s="281"/>
      <c r="AZ163" s="281"/>
      <c r="BA163" s="281"/>
      <c r="BB163" s="239"/>
      <c r="BC163" s="281"/>
      <c r="BD163" s="281"/>
      <c r="BE163" s="281"/>
      <c r="BF163" s="281"/>
      <c r="BG163" s="281"/>
      <c r="BH163" s="281"/>
      <c r="BI163" s="281"/>
      <c r="BJ163" s="281"/>
      <c r="BK163" s="282"/>
      <c r="BL163" s="282"/>
      <c r="BM163" s="282"/>
      <c r="BN163" s="282"/>
      <c r="BO163" s="282"/>
      <c r="BP163" s="285"/>
    </row>
    <row r="164" spans="36:68" ht="15.75">
      <c r="AJ164" s="239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49"/>
      <c r="AV164" s="249"/>
      <c r="AW164" s="239"/>
      <c r="AX164" s="239"/>
      <c r="AY164" s="281"/>
      <c r="AZ164" s="281"/>
      <c r="BA164" s="281"/>
      <c r="BB164" s="239"/>
      <c r="BC164" s="281"/>
      <c r="BD164" s="281"/>
      <c r="BE164" s="281"/>
      <c r="BF164" s="281"/>
      <c r="BG164" s="281"/>
      <c r="BH164" s="281"/>
      <c r="BI164" s="281"/>
      <c r="BJ164" s="281"/>
      <c r="BK164" s="282"/>
      <c r="BL164" s="282"/>
      <c r="BM164" s="282"/>
      <c r="BN164" s="282"/>
      <c r="BO164" s="282"/>
      <c r="BP164" s="285"/>
    </row>
    <row r="165" spans="36:68" ht="15.75">
      <c r="AJ165" s="239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49"/>
      <c r="AV165" s="249"/>
      <c r="AW165" s="239"/>
      <c r="AX165" s="239"/>
      <c r="AY165" s="281"/>
      <c r="AZ165" s="281"/>
      <c r="BA165" s="281"/>
      <c r="BB165" s="239"/>
      <c r="BC165" s="281"/>
      <c r="BD165" s="281"/>
      <c r="BE165" s="281"/>
      <c r="BF165" s="281"/>
      <c r="BG165" s="281"/>
      <c r="BH165" s="281"/>
      <c r="BI165" s="281"/>
      <c r="BJ165" s="281"/>
      <c r="BK165" s="282"/>
      <c r="BL165" s="282"/>
      <c r="BM165" s="282"/>
      <c r="BN165" s="282"/>
      <c r="BO165" s="282"/>
      <c r="BP165" s="285"/>
    </row>
    <row r="166" spans="36:68" ht="15.75">
      <c r="AJ166" s="239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49"/>
      <c r="AV166" s="249"/>
      <c r="AW166" s="239"/>
      <c r="AX166" s="239"/>
      <c r="AY166" s="281"/>
      <c r="AZ166" s="281"/>
      <c r="BA166" s="281"/>
      <c r="BB166" s="239"/>
      <c r="BC166" s="281"/>
      <c r="BD166" s="281"/>
      <c r="BE166" s="281"/>
      <c r="BF166" s="281"/>
      <c r="BG166" s="281"/>
      <c r="BH166" s="281"/>
      <c r="BI166" s="281"/>
      <c r="BJ166" s="281"/>
      <c r="BK166" s="282"/>
      <c r="BL166" s="282"/>
      <c r="BM166" s="282"/>
      <c r="BN166" s="282"/>
      <c r="BO166" s="282"/>
      <c r="BP166" s="285"/>
    </row>
    <row r="167" spans="36:68" ht="15.75"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49"/>
      <c r="AV167" s="249"/>
      <c r="AW167" s="239"/>
      <c r="AX167" s="239"/>
      <c r="AY167" s="281"/>
      <c r="AZ167" s="281"/>
      <c r="BA167" s="281"/>
      <c r="BB167" s="239"/>
      <c r="BC167" s="281"/>
      <c r="BD167" s="281"/>
      <c r="BE167" s="281"/>
      <c r="BF167" s="281"/>
      <c r="BG167" s="281"/>
      <c r="BH167" s="281"/>
      <c r="BI167" s="281"/>
      <c r="BJ167" s="281"/>
      <c r="BK167" s="282"/>
      <c r="BL167" s="282"/>
      <c r="BM167" s="282"/>
      <c r="BN167" s="282"/>
      <c r="BO167" s="282"/>
      <c r="BP167" s="285"/>
    </row>
    <row r="168" spans="36:68" ht="15.75"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49"/>
      <c r="AV168" s="249"/>
      <c r="AW168" s="239"/>
      <c r="AX168" s="239"/>
      <c r="AY168" s="281"/>
      <c r="AZ168" s="281"/>
      <c r="BA168" s="281"/>
      <c r="BB168" s="239"/>
      <c r="BC168" s="281"/>
      <c r="BD168" s="281"/>
      <c r="BE168" s="281"/>
      <c r="BF168" s="281"/>
      <c r="BG168" s="281"/>
      <c r="BH168" s="281"/>
      <c r="BI168" s="281"/>
      <c r="BJ168" s="281"/>
      <c r="BK168" s="282"/>
      <c r="BL168" s="282"/>
      <c r="BM168" s="282"/>
      <c r="BN168" s="282"/>
      <c r="BO168" s="282"/>
      <c r="BP168" s="285"/>
    </row>
    <row r="169" spans="36:68" ht="15.75"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49"/>
      <c r="AV169" s="249"/>
      <c r="AW169" s="239"/>
      <c r="AX169" s="239"/>
      <c r="AY169" s="281"/>
      <c r="AZ169" s="281"/>
      <c r="BA169" s="281"/>
      <c r="BB169" s="239"/>
      <c r="BC169" s="281"/>
      <c r="BD169" s="281"/>
      <c r="BE169" s="281"/>
      <c r="BF169" s="281"/>
      <c r="BG169" s="281"/>
      <c r="BH169" s="281"/>
      <c r="BI169" s="281"/>
      <c r="BJ169" s="281"/>
      <c r="BK169" s="282"/>
      <c r="BL169" s="282"/>
      <c r="BM169" s="282"/>
      <c r="BN169" s="282"/>
      <c r="BO169" s="282"/>
      <c r="BP169" s="285"/>
    </row>
    <row r="170" spans="36:68" ht="15.75"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49"/>
      <c r="AV170" s="249"/>
      <c r="AW170" s="239"/>
      <c r="AX170" s="239"/>
      <c r="AY170" s="281"/>
      <c r="AZ170" s="281"/>
      <c r="BA170" s="281"/>
      <c r="BB170" s="239"/>
      <c r="BC170" s="281"/>
      <c r="BD170" s="281"/>
      <c r="BE170" s="281"/>
      <c r="BF170" s="281"/>
      <c r="BG170" s="281"/>
      <c r="BH170" s="281"/>
      <c r="BI170" s="281"/>
      <c r="BJ170" s="281"/>
      <c r="BK170" s="282"/>
      <c r="BL170" s="282"/>
      <c r="BM170" s="282"/>
      <c r="BN170" s="282"/>
      <c r="BO170" s="282"/>
      <c r="BP170" s="285"/>
    </row>
    <row r="171" spans="36:68" ht="15.75"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49"/>
      <c r="AV171" s="249"/>
      <c r="AW171" s="239"/>
      <c r="AX171" s="239"/>
      <c r="AY171" s="281"/>
      <c r="AZ171" s="281"/>
      <c r="BA171" s="281"/>
      <c r="BB171" s="239"/>
      <c r="BC171" s="281"/>
      <c r="BD171" s="281"/>
      <c r="BE171" s="281"/>
      <c r="BF171" s="281"/>
      <c r="BG171" s="281"/>
      <c r="BH171" s="281"/>
      <c r="BI171" s="281"/>
      <c r="BJ171" s="281"/>
      <c r="BK171" s="282"/>
      <c r="BL171" s="282"/>
      <c r="BM171" s="282"/>
      <c r="BN171" s="282"/>
      <c r="BO171" s="282"/>
      <c r="BP171" s="285"/>
    </row>
    <row r="172" spans="36:68" ht="15.75"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49"/>
      <c r="AV172" s="249"/>
      <c r="AW172" s="239"/>
      <c r="AX172" s="239"/>
      <c r="AY172" s="281"/>
      <c r="AZ172" s="281"/>
      <c r="BA172" s="281"/>
      <c r="BB172" s="239"/>
      <c r="BC172" s="281"/>
      <c r="BD172" s="281"/>
      <c r="BE172" s="281"/>
      <c r="BF172" s="281"/>
      <c r="BG172" s="281"/>
      <c r="BH172" s="281"/>
      <c r="BI172" s="281"/>
      <c r="BJ172" s="281"/>
      <c r="BK172" s="282"/>
      <c r="BL172" s="282"/>
      <c r="BM172" s="282"/>
      <c r="BN172" s="282"/>
      <c r="BO172" s="282"/>
      <c r="BP172" s="285"/>
    </row>
    <row r="173" spans="36:68" ht="15.75"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49"/>
      <c r="AV173" s="249"/>
      <c r="AW173" s="239"/>
      <c r="AX173" s="239"/>
      <c r="AY173" s="281"/>
      <c r="AZ173" s="281"/>
      <c r="BA173" s="281"/>
      <c r="BB173" s="239"/>
      <c r="BC173" s="281"/>
      <c r="BD173" s="281"/>
      <c r="BE173" s="281"/>
      <c r="BF173" s="281"/>
      <c r="BG173" s="281"/>
      <c r="BH173" s="281"/>
      <c r="BI173" s="281"/>
      <c r="BJ173" s="281"/>
      <c r="BK173" s="282"/>
      <c r="BL173" s="282"/>
      <c r="BM173" s="282"/>
      <c r="BN173" s="282"/>
      <c r="BO173" s="282"/>
      <c r="BP173" s="285"/>
    </row>
    <row r="174" spans="36:68" ht="15.75"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49"/>
      <c r="AV174" s="249"/>
      <c r="AW174" s="239"/>
      <c r="AX174" s="239"/>
      <c r="AY174" s="281"/>
      <c r="AZ174" s="281"/>
      <c r="BA174" s="281"/>
      <c r="BB174" s="239"/>
      <c r="BC174" s="281"/>
      <c r="BD174" s="281"/>
      <c r="BE174" s="281"/>
      <c r="BF174" s="281"/>
      <c r="BG174" s="281"/>
      <c r="BH174" s="281"/>
      <c r="BI174" s="281"/>
      <c r="BJ174" s="281"/>
      <c r="BK174" s="282"/>
      <c r="BL174" s="282"/>
      <c r="BM174" s="282"/>
      <c r="BN174" s="282"/>
      <c r="BO174" s="282"/>
      <c r="BP174" s="285"/>
    </row>
    <row r="175" spans="36:68" ht="15.75"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49"/>
      <c r="AV175" s="249"/>
      <c r="AW175" s="239"/>
      <c r="AX175" s="239"/>
      <c r="AY175" s="281"/>
      <c r="AZ175" s="281"/>
      <c r="BA175" s="281"/>
      <c r="BB175" s="239"/>
      <c r="BC175" s="281"/>
      <c r="BD175" s="281"/>
      <c r="BE175" s="281"/>
      <c r="BF175" s="281"/>
      <c r="BG175" s="281"/>
      <c r="BH175" s="281"/>
      <c r="BI175" s="281"/>
      <c r="BJ175" s="281"/>
      <c r="BK175" s="282"/>
      <c r="BL175" s="282"/>
      <c r="BM175" s="282"/>
      <c r="BN175" s="282"/>
      <c r="BO175" s="282"/>
      <c r="BP175" s="285"/>
    </row>
    <row r="176" spans="36:68" ht="15.75"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49"/>
      <c r="AV176" s="249"/>
      <c r="AW176" s="239"/>
      <c r="AX176" s="239"/>
      <c r="AY176" s="281"/>
      <c r="AZ176" s="281"/>
      <c r="BA176" s="281"/>
      <c r="BB176" s="239"/>
      <c r="BC176" s="281"/>
      <c r="BD176" s="281"/>
      <c r="BE176" s="281"/>
      <c r="BF176" s="281"/>
      <c r="BG176" s="281"/>
      <c r="BH176" s="281"/>
      <c r="BI176" s="281"/>
      <c r="BJ176" s="281"/>
      <c r="BK176" s="282"/>
      <c r="BL176" s="282"/>
      <c r="BM176" s="282"/>
      <c r="BN176" s="282"/>
      <c r="BO176" s="282"/>
      <c r="BP176" s="285"/>
    </row>
    <row r="177" spans="36:68" ht="15.75"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49"/>
      <c r="AV177" s="249"/>
      <c r="AW177" s="239"/>
      <c r="AX177" s="239"/>
      <c r="AY177" s="281"/>
      <c r="AZ177" s="281"/>
      <c r="BA177" s="281"/>
      <c r="BB177" s="239"/>
      <c r="BC177" s="281"/>
      <c r="BD177" s="281"/>
      <c r="BE177" s="281"/>
      <c r="BF177" s="281"/>
      <c r="BG177" s="281"/>
      <c r="BH177" s="281"/>
      <c r="BI177" s="281"/>
      <c r="BJ177" s="281"/>
      <c r="BK177" s="282"/>
      <c r="BL177" s="282"/>
      <c r="BM177" s="282"/>
      <c r="BN177" s="282"/>
      <c r="BO177" s="282"/>
      <c r="BP177" s="285"/>
    </row>
    <row r="178" spans="36:68" ht="15.75"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49"/>
      <c r="AV178" s="249"/>
      <c r="AW178" s="239"/>
      <c r="AX178" s="239"/>
      <c r="AY178" s="281"/>
      <c r="AZ178" s="281"/>
      <c r="BA178" s="281"/>
      <c r="BB178" s="239"/>
      <c r="BC178" s="281"/>
      <c r="BD178" s="281"/>
      <c r="BE178" s="281"/>
      <c r="BF178" s="281"/>
      <c r="BG178" s="281"/>
      <c r="BH178" s="281"/>
      <c r="BI178" s="281"/>
      <c r="BJ178" s="281"/>
      <c r="BK178" s="282"/>
      <c r="BL178" s="282"/>
      <c r="BM178" s="282"/>
      <c r="BN178" s="282"/>
      <c r="BO178" s="282"/>
      <c r="BP178" s="285"/>
    </row>
    <row r="179" spans="36:68" ht="15.75"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239"/>
      <c r="AT179" s="239"/>
      <c r="AU179" s="249"/>
      <c r="AV179" s="249"/>
      <c r="AW179" s="239"/>
      <c r="AX179" s="239"/>
      <c r="AY179" s="281"/>
      <c r="AZ179" s="281"/>
      <c r="BA179" s="281"/>
      <c r="BB179" s="239"/>
      <c r="BC179" s="281"/>
      <c r="BD179" s="281"/>
      <c r="BE179" s="281"/>
      <c r="BF179" s="281"/>
      <c r="BG179" s="281"/>
      <c r="BH179" s="281"/>
      <c r="BI179" s="281"/>
      <c r="BJ179" s="281"/>
      <c r="BK179" s="282"/>
      <c r="BL179" s="282"/>
      <c r="BM179" s="282"/>
      <c r="BN179" s="282"/>
      <c r="BO179" s="282"/>
      <c r="BP179" s="285"/>
    </row>
    <row r="180" spans="36:68" ht="15.75"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49"/>
      <c r="AV180" s="249"/>
      <c r="AW180" s="239"/>
      <c r="AX180" s="239"/>
      <c r="AY180" s="281"/>
      <c r="AZ180" s="281"/>
      <c r="BA180" s="281"/>
      <c r="BB180" s="239"/>
      <c r="BC180" s="281"/>
      <c r="BD180" s="281"/>
      <c r="BE180" s="281"/>
      <c r="BF180" s="281"/>
      <c r="BG180" s="281"/>
      <c r="BH180" s="281"/>
      <c r="BI180" s="281"/>
      <c r="BJ180" s="281"/>
      <c r="BK180" s="282"/>
      <c r="BL180" s="282"/>
      <c r="BM180" s="282"/>
      <c r="BN180" s="282"/>
      <c r="BO180" s="282"/>
      <c r="BP180" s="285"/>
    </row>
    <row r="181" spans="36:68" ht="15.75"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239"/>
      <c r="AT181" s="239"/>
      <c r="AU181" s="249"/>
      <c r="AV181" s="249"/>
      <c r="AW181" s="239"/>
      <c r="AX181" s="239"/>
      <c r="AY181" s="281"/>
      <c r="AZ181" s="281"/>
      <c r="BA181" s="281"/>
      <c r="BB181" s="239"/>
      <c r="BC181" s="281"/>
      <c r="BD181" s="281"/>
      <c r="BE181" s="281"/>
      <c r="BF181" s="281"/>
      <c r="BG181" s="281"/>
      <c r="BH181" s="281"/>
      <c r="BI181" s="281"/>
      <c r="BJ181" s="281"/>
      <c r="BK181" s="282"/>
      <c r="BL181" s="282"/>
      <c r="BM181" s="282"/>
      <c r="BN181" s="282"/>
      <c r="BO181" s="282"/>
      <c r="BP181" s="285"/>
    </row>
    <row r="182" spans="36:68" ht="15.75"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49"/>
      <c r="AV182" s="249"/>
      <c r="AW182" s="239"/>
      <c r="AX182" s="239"/>
      <c r="AY182" s="281"/>
      <c r="AZ182" s="281"/>
      <c r="BA182" s="281"/>
      <c r="BB182" s="239"/>
      <c r="BC182" s="281"/>
      <c r="BD182" s="281"/>
      <c r="BE182" s="281"/>
      <c r="BF182" s="281"/>
      <c r="BG182" s="281"/>
      <c r="BH182" s="281"/>
      <c r="BI182" s="281"/>
      <c r="BJ182" s="281"/>
      <c r="BK182" s="282"/>
      <c r="BL182" s="282"/>
      <c r="BM182" s="282"/>
      <c r="BN182" s="282"/>
      <c r="BO182" s="282"/>
      <c r="BP182" s="285"/>
    </row>
    <row r="183" spans="36:68" ht="15.75"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49"/>
      <c r="AV183" s="249"/>
      <c r="AW183" s="239"/>
      <c r="AX183" s="239"/>
      <c r="AY183" s="281"/>
      <c r="AZ183" s="281"/>
      <c r="BA183" s="281"/>
      <c r="BB183" s="239"/>
      <c r="BC183" s="281"/>
      <c r="BD183" s="281"/>
      <c r="BE183" s="281"/>
      <c r="BF183" s="281"/>
      <c r="BG183" s="281"/>
      <c r="BH183" s="281"/>
      <c r="BI183" s="281"/>
      <c r="BJ183" s="281"/>
      <c r="BK183" s="282"/>
      <c r="BL183" s="282"/>
      <c r="BM183" s="282"/>
      <c r="BN183" s="282"/>
      <c r="BO183" s="282"/>
      <c r="BP183" s="285"/>
    </row>
    <row r="184" spans="36:68" ht="15.75"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49"/>
      <c r="AV184" s="249"/>
      <c r="AW184" s="239"/>
      <c r="AX184" s="239"/>
      <c r="AY184" s="281"/>
      <c r="AZ184" s="281"/>
      <c r="BA184" s="281"/>
      <c r="BB184" s="239"/>
      <c r="BC184" s="281"/>
      <c r="BD184" s="281"/>
      <c r="BE184" s="281"/>
      <c r="BF184" s="281"/>
      <c r="BG184" s="281"/>
      <c r="BH184" s="281"/>
      <c r="BI184" s="281"/>
      <c r="BJ184" s="281"/>
      <c r="BK184" s="282"/>
      <c r="BL184" s="282"/>
      <c r="BM184" s="282"/>
      <c r="BN184" s="282"/>
      <c r="BO184" s="282"/>
      <c r="BP184" s="285"/>
    </row>
    <row r="185" spans="36:68" ht="15.75"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49"/>
      <c r="AV185" s="249"/>
      <c r="AW185" s="239"/>
      <c r="AX185" s="239"/>
      <c r="AY185" s="281"/>
      <c r="AZ185" s="281"/>
      <c r="BA185" s="281"/>
      <c r="BB185" s="239"/>
      <c r="BC185" s="281"/>
      <c r="BD185" s="281"/>
      <c r="BE185" s="281"/>
      <c r="BF185" s="281"/>
      <c r="BG185" s="281"/>
      <c r="BH185" s="281"/>
      <c r="BI185" s="281"/>
      <c r="BJ185" s="281"/>
      <c r="BK185" s="282"/>
      <c r="BL185" s="282"/>
      <c r="BM185" s="282"/>
      <c r="BN185" s="282"/>
      <c r="BO185" s="282"/>
      <c r="BP185" s="285"/>
    </row>
    <row r="186" spans="36:68" ht="15.75"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49"/>
      <c r="AV186" s="249"/>
      <c r="AW186" s="239"/>
      <c r="AX186" s="239"/>
      <c r="AY186" s="281"/>
      <c r="AZ186" s="281"/>
      <c r="BA186" s="281"/>
      <c r="BB186" s="239"/>
      <c r="BC186" s="281"/>
      <c r="BD186" s="281"/>
      <c r="BE186" s="281"/>
      <c r="BF186" s="281"/>
      <c r="BG186" s="281"/>
      <c r="BH186" s="281"/>
      <c r="BI186" s="281"/>
      <c r="BJ186" s="281"/>
      <c r="BK186" s="282"/>
      <c r="BL186" s="282"/>
      <c r="BM186" s="282"/>
      <c r="BN186" s="282"/>
      <c r="BO186" s="282"/>
      <c r="BP186" s="285"/>
    </row>
    <row r="187" spans="36:68" ht="15.75"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49"/>
      <c r="AV187" s="249"/>
      <c r="AW187" s="239"/>
      <c r="AX187" s="239"/>
      <c r="AY187" s="281"/>
      <c r="AZ187" s="281"/>
      <c r="BA187" s="281"/>
      <c r="BB187" s="239"/>
      <c r="BC187" s="281"/>
      <c r="BD187" s="281"/>
      <c r="BE187" s="281"/>
      <c r="BF187" s="281"/>
      <c r="BG187" s="281"/>
      <c r="BH187" s="281"/>
      <c r="BI187" s="281"/>
      <c r="BJ187" s="281"/>
      <c r="BK187" s="282"/>
      <c r="BL187" s="282"/>
      <c r="BM187" s="282"/>
      <c r="BN187" s="282"/>
      <c r="BO187" s="282"/>
      <c r="BP187" s="285"/>
    </row>
    <row r="188" spans="36:68" ht="15.75"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49"/>
      <c r="AV188" s="249"/>
      <c r="AW188" s="239"/>
      <c r="AX188" s="239"/>
      <c r="AY188" s="281"/>
      <c r="AZ188" s="281"/>
      <c r="BA188" s="281"/>
      <c r="BB188" s="239"/>
      <c r="BC188" s="281"/>
      <c r="BD188" s="281"/>
      <c r="BE188" s="281"/>
      <c r="BF188" s="281"/>
      <c r="BG188" s="281"/>
      <c r="BH188" s="281"/>
      <c r="BI188" s="281"/>
      <c r="BJ188" s="281"/>
      <c r="BK188" s="282"/>
      <c r="BL188" s="282"/>
      <c r="BM188" s="282"/>
      <c r="BN188" s="282"/>
      <c r="BO188" s="282"/>
      <c r="BP188" s="285"/>
    </row>
    <row r="189" spans="36:68" ht="15.75"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49"/>
      <c r="AV189" s="249"/>
      <c r="AW189" s="239"/>
      <c r="AX189" s="239"/>
      <c r="AY189" s="281"/>
      <c r="AZ189" s="281"/>
      <c r="BA189" s="281"/>
      <c r="BB189" s="239"/>
      <c r="BC189" s="281"/>
      <c r="BD189" s="281"/>
      <c r="BE189" s="281"/>
      <c r="BF189" s="281"/>
      <c r="BG189" s="281"/>
      <c r="BH189" s="281"/>
      <c r="BI189" s="281"/>
      <c r="BJ189" s="281"/>
      <c r="BK189" s="282"/>
      <c r="BL189" s="282"/>
      <c r="BM189" s="282"/>
      <c r="BN189" s="282"/>
      <c r="BO189" s="282"/>
      <c r="BP189" s="285"/>
    </row>
    <row r="190" spans="36:68" ht="15.75"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49"/>
      <c r="AV190" s="249"/>
      <c r="AW190" s="239"/>
      <c r="AX190" s="239"/>
      <c r="AY190" s="281"/>
      <c r="AZ190" s="281"/>
      <c r="BA190" s="281"/>
      <c r="BB190" s="239"/>
      <c r="BC190" s="281"/>
      <c r="BD190" s="281"/>
      <c r="BE190" s="281"/>
      <c r="BF190" s="281"/>
      <c r="BG190" s="281"/>
      <c r="BH190" s="281"/>
      <c r="BI190" s="281"/>
      <c r="BJ190" s="281"/>
      <c r="BK190" s="282"/>
      <c r="BL190" s="282"/>
      <c r="BM190" s="282"/>
      <c r="BN190" s="282"/>
      <c r="BO190" s="282"/>
      <c r="BP190" s="285"/>
    </row>
    <row r="191" spans="36:68" ht="15.75"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49"/>
      <c r="AV191" s="249"/>
      <c r="AW191" s="239"/>
      <c r="AX191" s="239"/>
      <c r="AY191" s="281"/>
      <c r="AZ191" s="281"/>
      <c r="BA191" s="281"/>
      <c r="BB191" s="239"/>
      <c r="BC191" s="281"/>
      <c r="BD191" s="281"/>
      <c r="BE191" s="281"/>
      <c r="BF191" s="281"/>
      <c r="BG191" s="281"/>
      <c r="BH191" s="281"/>
      <c r="BI191" s="281"/>
      <c r="BJ191" s="281"/>
      <c r="BK191" s="282"/>
      <c r="BL191" s="282"/>
      <c r="BM191" s="282"/>
      <c r="BN191" s="282"/>
      <c r="BO191" s="282"/>
      <c r="BP191" s="285"/>
    </row>
    <row r="192" spans="36:68" ht="15.75"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49"/>
      <c r="AV192" s="249"/>
      <c r="AW192" s="239"/>
      <c r="AX192" s="239"/>
      <c r="AY192" s="281"/>
      <c r="AZ192" s="281"/>
      <c r="BA192" s="281"/>
      <c r="BB192" s="239"/>
      <c r="BC192" s="281"/>
      <c r="BD192" s="281"/>
      <c r="BE192" s="281"/>
      <c r="BF192" s="281"/>
      <c r="BG192" s="281"/>
      <c r="BH192" s="281"/>
      <c r="BI192" s="281"/>
      <c r="BJ192" s="281"/>
      <c r="BK192" s="282"/>
      <c r="BL192" s="282"/>
      <c r="BM192" s="282"/>
      <c r="BN192" s="282"/>
      <c r="BO192" s="282"/>
      <c r="BP192" s="285"/>
    </row>
    <row r="193" spans="36:68" ht="15.75">
      <c r="AJ193" s="239"/>
      <c r="AK193" s="239"/>
      <c r="AL193" s="239"/>
      <c r="AM193" s="239"/>
      <c r="AN193" s="239"/>
      <c r="AO193" s="239"/>
      <c r="AP193" s="239"/>
      <c r="AQ193" s="239"/>
      <c r="AR193" s="239"/>
      <c r="AS193" s="239"/>
      <c r="AT193" s="239"/>
      <c r="AU193" s="249"/>
      <c r="AV193" s="249"/>
      <c r="AW193" s="239"/>
      <c r="AX193" s="239"/>
      <c r="AY193" s="281"/>
      <c r="AZ193" s="281"/>
      <c r="BA193" s="281"/>
      <c r="BB193" s="239"/>
      <c r="BC193" s="281"/>
      <c r="BD193" s="281"/>
      <c r="BE193" s="281"/>
      <c r="BF193" s="281"/>
      <c r="BG193" s="281"/>
      <c r="BH193" s="281"/>
      <c r="BI193" s="281"/>
      <c r="BJ193" s="281"/>
      <c r="BK193" s="282"/>
      <c r="BL193" s="282"/>
      <c r="BM193" s="282"/>
      <c r="BN193" s="282"/>
      <c r="BO193" s="282"/>
      <c r="BP193" s="285"/>
    </row>
    <row r="194" spans="36:68" ht="15.75">
      <c r="AJ194" s="239"/>
      <c r="AK194" s="239"/>
      <c r="AL194" s="239"/>
      <c r="AM194" s="239"/>
      <c r="AN194" s="239"/>
      <c r="AO194" s="239"/>
      <c r="AP194" s="239"/>
      <c r="AQ194" s="239"/>
      <c r="AR194" s="239"/>
      <c r="AS194" s="239"/>
      <c r="AT194" s="239"/>
      <c r="AU194" s="249"/>
      <c r="AV194" s="249"/>
      <c r="AW194" s="239"/>
      <c r="AX194" s="239"/>
      <c r="AY194" s="281"/>
      <c r="AZ194" s="281"/>
      <c r="BA194" s="281"/>
      <c r="BB194" s="239"/>
      <c r="BC194" s="281"/>
      <c r="BD194" s="281"/>
      <c r="BE194" s="281"/>
      <c r="BF194" s="281"/>
      <c r="BG194" s="281"/>
      <c r="BH194" s="281"/>
      <c r="BI194" s="281"/>
      <c r="BJ194" s="281"/>
      <c r="BK194" s="282"/>
      <c r="BL194" s="282"/>
      <c r="BM194" s="282"/>
      <c r="BN194" s="282"/>
      <c r="BO194" s="282"/>
      <c r="BP194" s="285"/>
    </row>
    <row r="195" spans="36:68" ht="15.75">
      <c r="AJ195" s="239"/>
      <c r="AK195" s="239"/>
      <c r="AL195" s="239"/>
      <c r="AM195" s="239"/>
      <c r="AN195" s="239"/>
      <c r="AO195" s="239"/>
      <c r="AP195" s="239"/>
      <c r="AQ195" s="239"/>
      <c r="AR195" s="239"/>
      <c r="AS195" s="239"/>
      <c r="AT195" s="239"/>
      <c r="AU195" s="249"/>
      <c r="AV195" s="249"/>
      <c r="AW195" s="239"/>
      <c r="AX195" s="239"/>
      <c r="AY195" s="281"/>
      <c r="AZ195" s="281"/>
      <c r="BA195" s="281"/>
      <c r="BB195" s="239"/>
      <c r="BC195" s="281"/>
      <c r="BD195" s="281"/>
      <c r="BE195" s="281"/>
      <c r="BF195" s="281"/>
      <c r="BG195" s="281"/>
      <c r="BH195" s="281"/>
      <c r="BI195" s="281"/>
      <c r="BJ195" s="281"/>
      <c r="BK195" s="282"/>
      <c r="BL195" s="282"/>
      <c r="BM195" s="282"/>
      <c r="BN195" s="282"/>
      <c r="BO195" s="282"/>
      <c r="BP195" s="285"/>
    </row>
    <row r="196" spans="36:68" ht="15.75">
      <c r="AJ196" s="239"/>
      <c r="AK196" s="239"/>
      <c r="AL196" s="239"/>
      <c r="AM196" s="239"/>
      <c r="AN196" s="239"/>
      <c r="AO196" s="239"/>
      <c r="AP196" s="239"/>
      <c r="AQ196" s="239"/>
      <c r="AR196" s="239"/>
      <c r="AS196" s="239"/>
      <c r="AT196" s="239"/>
      <c r="AU196" s="249"/>
      <c r="AV196" s="249"/>
      <c r="AW196" s="239"/>
      <c r="AX196" s="239"/>
      <c r="AY196" s="281"/>
      <c r="AZ196" s="281"/>
      <c r="BA196" s="281"/>
      <c r="BB196" s="239"/>
      <c r="BC196" s="281"/>
      <c r="BD196" s="281"/>
      <c r="BE196" s="281"/>
      <c r="BF196" s="281"/>
      <c r="BG196" s="281"/>
      <c r="BH196" s="281"/>
      <c r="BI196" s="281"/>
      <c r="BJ196" s="281"/>
      <c r="BK196" s="282"/>
      <c r="BL196" s="282"/>
      <c r="BM196" s="282"/>
      <c r="BN196" s="282"/>
      <c r="BO196" s="282"/>
      <c r="BP196" s="285"/>
    </row>
    <row r="197" spans="36:68" ht="15.75">
      <c r="AJ197" s="239"/>
      <c r="AK197" s="239"/>
      <c r="AL197" s="239"/>
      <c r="AM197" s="239"/>
      <c r="AN197" s="239"/>
      <c r="AO197" s="239"/>
      <c r="AP197" s="239"/>
      <c r="AQ197" s="239"/>
      <c r="AR197" s="239"/>
      <c r="AS197" s="239"/>
      <c r="AT197" s="239"/>
      <c r="AU197" s="249"/>
      <c r="AV197" s="249"/>
      <c r="AW197" s="239"/>
      <c r="AX197" s="239"/>
      <c r="AY197" s="281"/>
      <c r="AZ197" s="281"/>
      <c r="BA197" s="281"/>
      <c r="BB197" s="239"/>
      <c r="BC197" s="281"/>
      <c r="BD197" s="281"/>
      <c r="BE197" s="281"/>
      <c r="BF197" s="281"/>
      <c r="BG197" s="281"/>
      <c r="BH197" s="281"/>
      <c r="BI197" s="281"/>
      <c r="BJ197" s="281"/>
      <c r="BK197" s="282"/>
      <c r="BL197" s="282"/>
      <c r="BM197" s="282"/>
      <c r="BN197" s="282"/>
      <c r="BO197" s="282"/>
      <c r="BP197" s="285"/>
    </row>
    <row r="198" spans="36:68" ht="15.75">
      <c r="AJ198" s="239"/>
      <c r="AK198" s="239"/>
      <c r="AL198" s="239"/>
      <c r="AM198" s="239"/>
      <c r="AN198" s="239"/>
      <c r="AO198" s="239"/>
      <c r="AP198" s="239"/>
      <c r="AQ198" s="239"/>
      <c r="AR198" s="239"/>
      <c r="AS198" s="239"/>
      <c r="AT198" s="239"/>
      <c r="AU198" s="249"/>
      <c r="AV198" s="249"/>
      <c r="AW198" s="239"/>
      <c r="AX198" s="239"/>
      <c r="AY198" s="281"/>
      <c r="AZ198" s="281"/>
      <c r="BA198" s="281"/>
      <c r="BB198" s="239"/>
      <c r="BC198" s="281"/>
      <c r="BD198" s="281"/>
      <c r="BE198" s="281"/>
      <c r="BF198" s="281"/>
      <c r="BG198" s="281"/>
      <c r="BH198" s="281"/>
      <c r="BI198" s="281"/>
      <c r="BJ198" s="281"/>
      <c r="BK198" s="282"/>
      <c r="BL198" s="282"/>
      <c r="BM198" s="282"/>
      <c r="BN198" s="282"/>
      <c r="BO198" s="282"/>
      <c r="BP198" s="285"/>
    </row>
    <row r="199" spans="36:68" ht="15.75"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239"/>
      <c r="AT199" s="239"/>
      <c r="AU199" s="249"/>
      <c r="AV199" s="249"/>
      <c r="AW199" s="239"/>
      <c r="AX199" s="239"/>
      <c r="AY199" s="281"/>
      <c r="AZ199" s="281"/>
      <c r="BA199" s="281"/>
      <c r="BB199" s="239"/>
      <c r="BC199" s="281"/>
      <c r="BD199" s="281"/>
      <c r="BE199" s="281"/>
      <c r="BF199" s="281"/>
      <c r="BG199" s="281"/>
      <c r="BH199" s="281"/>
      <c r="BI199" s="281"/>
      <c r="BJ199" s="281"/>
      <c r="BK199" s="282"/>
      <c r="BL199" s="282"/>
      <c r="BM199" s="282"/>
      <c r="BN199" s="282"/>
      <c r="BO199" s="282"/>
      <c r="BP199" s="285"/>
    </row>
    <row r="200" spans="36:68" ht="15.75">
      <c r="AJ200" s="239"/>
      <c r="AK200" s="239"/>
      <c r="AL200" s="239"/>
      <c r="AM200" s="239"/>
      <c r="AN200" s="239"/>
      <c r="AO200" s="239"/>
      <c r="AP200" s="239"/>
      <c r="AQ200" s="239"/>
      <c r="AR200" s="239"/>
      <c r="AS200" s="239"/>
      <c r="AT200" s="239"/>
      <c r="AU200" s="249"/>
      <c r="AV200" s="249"/>
      <c r="AW200" s="239"/>
      <c r="AX200" s="239"/>
      <c r="AY200" s="281"/>
      <c r="AZ200" s="281"/>
      <c r="BA200" s="281"/>
      <c r="BB200" s="239"/>
      <c r="BC200" s="281"/>
      <c r="BD200" s="281"/>
      <c r="BE200" s="281"/>
      <c r="BF200" s="281"/>
      <c r="BG200" s="281"/>
      <c r="BH200" s="281"/>
      <c r="BI200" s="281"/>
      <c r="BJ200" s="281"/>
      <c r="BK200" s="282"/>
      <c r="BL200" s="282"/>
      <c r="BM200" s="282"/>
      <c r="BN200" s="282"/>
      <c r="BO200" s="282"/>
      <c r="BP200" s="285"/>
    </row>
    <row r="201" spans="36:68" ht="15.75">
      <c r="AJ201" s="239"/>
      <c r="AK201" s="239"/>
      <c r="AL201" s="239"/>
      <c r="AM201" s="239"/>
      <c r="AN201" s="239"/>
      <c r="AO201" s="239"/>
      <c r="AP201" s="239"/>
      <c r="AQ201" s="239"/>
      <c r="AR201" s="239"/>
      <c r="AS201" s="239"/>
      <c r="AT201" s="239"/>
      <c r="AU201" s="249"/>
      <c r="AV201" s="249"/>
      <c r="AW201" s="239"/>
      <c r="AX201" s="239"/>
      <c r="AY201" s="281"/>
      <c r="AZ201" s="281"/>
      <c r="BA201" s="281"/>
      <c r="BB201" s="239"/>
      <c r="BC201" s="281"/>
      <c r="BD201" s="281"/>
      <c r="BE201" s="281"/>
      <c r="BF201" s="281"/>
      <c r="BG201" s="281"/>
      <c r="BH201" s="281"/>
      <c r="BI201" s="281"/>
      <c r="BJ201" s="281"/>
      <c r="BK201" s="282"/>
      <c r="BL201" s="282"/>
      <c r="BM201" s="282"/>
      <c r="BN201" s="282"/>
      <c r="BO201" s="282"/>
      <c r="BP201" s="285"/>
    </row>
    <row r="202" spans="36:68" ht="15.75">
      <c r="AJ202" s="239"/>
      <c r="AK202" s="239"/>
      <c r="AL202" s="239"/>
      <c r="AM202" s="239"/>
      <c r="AN202" s="239"/>
      <c r="AO202" s="239"/>
      <c r="AP202" s="239"/>
      <c r="AQ202" s="239"/>
      <c r="AR202" s="239"/>
      <c r="AS202" s="239"/>
      <c r="AT202" s="239"/>
      <c r="AU202" s="249"/>
      <c r="AV202" s="249"/>
      <c r="AW202" s="239"/>
      <c r="AX202" s="239"/>
      <c r="AY202" s="281"/>
      <c r="AZ202" s="281"/>
      <c r="BA202" s="281"/>
      <c r="BB202" s="239"/>
      <c r="BC202" s="281"/>
      <c r="BD202" s="281"/>
      <c r="BE202" s="281"/>
      <c r="BF202" s="281"/>
      <c r="BG202" s="281"/>
      <c r="BH202" s="281"/>
      <c r="BI202" s="281"/>
      <c r="BJ202" s="281"/>
      <c r="BK202" s="282"/>
      <c r="BL202" s="282"/>
      <c r="BM202" s="282"/>
      <c r="BN202" s="282"/>
      <c r="BO202" s="282"/>
      <c r="BP202" s="285"/>
    </row>
    <row r="203" spans="36:68" ht="15.75">
      <c r="AJ203" s="239"/>
      <c r="AK203" s="239"/>
      <c r="AL203" s="239"/>
      <c r="AM203" s="239"/>
      <c r="AN203" s="239"/>
      <c r="AO203" s="239"/>
      <c r="AP203" s="239"/>
      <c r="AQ203" s="239"/>
      <c r="AR203" s="239"/>
      <c r="AS203" s="239"/>
      <c r="AT203" s="239"/>
      <c r="AU203" s="249"/>
      <c r="AV203" s="249"/>
      <c r="AW203" s="239"/>
      <c r="AX203" s="239"/>
      <c r="AY203" s="281"/>
      <c r="AZ203" s="281"/>
      <c r="BA203" s="281"/>
      <c r="BB203" s="239"/>
      <c r="BC203" s="281"/>
      <c r="BD203" s="281"/>
      <c r="BE203" s="281"/>
      <c r="BF203" s="281"/>
      <c r="BG203" s="281"/>
      <c r="BH203" s="281"/>
      <c r="BI203" s="281"/>
      <c r="BJ203" s="281"/>
      <c r="BK203" s="282"/>
      <c r="BL203" s="282"/>
      <c r="BM203" s="282"/>
      <c r="BN203" s="282"/>
      <c r="BO203" s="282"/>
      <c r="BP203" s="285"/>
    </row>
    <row r="204" spans="36:68" ht="15.75"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239"/>
      <c r="AT204" s="239"/>
      <c r="AU204" s="249"/>
      <c r="AV204" s="249"/>
      <c r="AW204" s="239"/>
      <c r="AX204" s="239"/>
      <c r="AY204" s="281"/>
      <c r="AZ204" s="281"/>
      <c r="BA204" s="281"/>
      <c r="BB204" s="239"/>
      <c r="BC204" s="281"/>
      <c r="BD204" s="281"/>
      <c r="BE204" s="281"/>
      <c r="BF204" s="281"/>
      <c r="BG204" s="281"/>
      <c r="BH204" s="281"/>
      <c r="BI204" s="281"/>
      <c r="BJ204" s="281"/>
      <c r="BK204" s="282"/>
      <c r="BL204" s="282"/>
      <c r="BM204" s="282"/>
      <c r="BN204" s="282"/>
      <c r="BO204" s="282"/>
      <c r="BP204" s="285"/>
    </row>
    <row r="205" spans="36:68" ht="15.75">
      <c r="AJ205" s="239"/>
      <c r="AK205" s="239"/>
      <c r="AL205" s="239"/>
      <c r="AM205" s="239"/>
      <c r="AN205" s="239"/>
      <c r="AO205" s="239"/>
      <c r="AP205" s="239"/>
      <c r="AQ205" s="239"/>
      <c r="AR205" s="239"/>
      <c r="AS205" s="239"/>
      <c r="AT205" s="239"/>
      <c r="AU205" s="249"/>
      <c r="AV205" s="249"/>
      <c r="AW205" s="239"/>
      <c r="AX205" s="239"/>
      <c r="AY205" s="281"/>
      <c r="AZ205" s="281"/>
      <c r="BA205" s="281"/>
      <c r="BB205" s="239"/>
      <c r="BC205" s="281"/>
      <c r="BD205" s="281"/>
      <c r="BE205" s="281"/>
      <c r="BF205" s="281"/>
      <c r="BG205" s="281"/>
      <c r="BH205" s="281"/>
      <c r="BI205" s="281"/>
      <c r="BJ205" s="281"/>
      <c r="BK205" s="282"/>
      <c r="BL205" s="282"/>
      <c r="BM205" s="282"/>
      <c r="BN205" s="282"/>
      <c r="BO205" s="282"/>
      <c r="BP205" s="285"/>
    </row>
    <row r="206" spans="36:68" ht="15.75">
      <c r="AJ206" s="239"/>
      <c r="AK206" s="239"/>
      <c r="AL206" s="239"/>
      <c r="AM206" s="239"/>
      <c r="AN206" s="239"/>
      <c r="AO206" s="239"/>
      <c r="AP206" s="239"/>
      <c r="AQ206" s="239"/>
      <c r="AR206" s="239"/>
      <c r="AS206" s="239"/>
      <c r="AT206" s="239"/>
      <c r="AU206" s="249"/>
      <c r="AV206" s="249"/>
      <c r="AW206" s="239"/>
      <c r="AX206" s="239"/>
      <c r="AY206" s="281"/>
      <c r="AZ206" s="281"/>
      <c r="BA206" s="281"/>
      <c r="BB206" s="239"/>
      <c r="BC206" s="281"/>
      <c r="BD206" s="281"/>
      <c r="BE206" s="281"/>
      <c r="BF206" s="281"/>
      <c r="BG206" s="281"/>
      <c r="BH206" s="281"/>
      <c r="BI206" s="281"/>
      <c r="BJ206" s="281"/>
      <c r="BK206" s="282"/>
      <c r="BL206" s="282"/>
      <c r="BM206" s="282"/>
      <c r="BN206" s="282"/>
      <c r="BO206" s="282"/>
      <c r="BP206" s="285"/>
    </row>
    <row r="207" spans="36:68" ht="15.75">
      <c r="AJ207" s="239"/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49"/>
      <c r="AV207" s="249"/>
      <c r="AW207" s="239"/>
      <c r="AX207" s="239"/>
      <c r="AY207" s="281"/>
      <c r="AZ207" s="281"/>
      <c r="BA207" s="281"/>
      <c r="BB207" s="239"/>
      <c r="BC207" s="281"/>
      <c r="BD207" s="281"/>
      <c r="BE207" s="281"/>
      <c r="BF207" s="281"/>
      <c r="BG207" s="281"/>
      <c r="BH207" s="281"/>
      <c r="BI207" s="281"/>
      <c r="BJ207" s="281"/>
      <c r="BK207" s="282"/>
      <c r="BL207" s="282"/>
      <c r="BM207" s="282"/>
      <c r="BN207" s="282"/>
      <c r="BO207" s="282"/>
      <c r="BP207" s="285"/>
    </row>
    <row r="208" spans="36:68" ht="15.75">
      <c r="AJ208" s="239"/>
      <c r="AK208" s="239"/>
      <c r="AL208" s="239"/>
      <c r="AM208" s="239"/>
      <c r="AN208" s="239"/>
      <c r="AO208" s="239"/>
      <c r="AP208" s="239"/>
      <c r="AQ208" s="239"/>
      <c r="AR208" s="239"/>
      <c r="AS208" s="239"/>
      <c r="AT208" s="239"/>
      <c r="AU208" s="249"/>
      <c r="AV208" s="249"/>
      <c r="AW208" s="239"/>
      <c r="AX208" s="239"/>
      <c r="AY208" s="281"/>
      <c r="AZ208" s="281"/>
      <c r="BA208" s="281"/>
      <c r="BB208" s="239"/>
      <c r="BC208" s="281"/>
      <c r="BD208" s="281"/>
      <c r="BE208" s="281"/>
      <c r="BF208" s="281"/>
      <c r="BG208" s="281"/>
      <c r="BH208" s="281"/>
      <c r="BI208" s="281"/>
      <c r="BJ208" s="281"/>
      <c r="BK208" s="282"/>
      <c r="BL208" s="282"/>
      <c r="BM208" s="282"/>
      <c r="BN208" s="282"/>
      <c r="BO208" s="282"/>
      <c r="BP208" s="285"/>
    </row>
    <row r="209" spans="36:68" ht="15.75">
      <c r="AJ209" s="239"/>
      <c r="AK209" s="239"/>
      <c r="AL209" s="239"/>
      <c r="AM209" s="239"/>
      <c r="AN209" s="239"/>
      <c r="AO209" s="239"/>
      <c r="AP209" s="239"/>
      <c r="AQ209" s="239"/>
      <c r="AR209" s="239"/>
      <c r="AS209" s="239"/>
      <c r="AT209" s="239"/>
      <c r="AU209" s="249"/>
      <c r="AV209" s="249"/>
      <c r="AW209" s="239"/>
      <c r="AX209" s="239"/>
      <c r="AY209" s="281"/>
      <c r="AZ209" s="281"/>
      <c r="BA209" s="281"/>
      <c r="BB209" s="239"/>
      <c r="BC209" s="281"/>
      <c r="BD209" s="281"/>
      <c r="BE209" s="281"/>
      <c r="BF209" s="281"/>
      <c r="BG209" s="281"/>
      <c r="BH209" s="281"/>
      <c r="BI209" s="281"/>
      <c r="BJ209" s="281"/>
      <c r="BK209" s="282"/>
      <c r="BL209" s="282"/>
      <c r="BM209" s="282"/>
      <c r="BN209" s="282"/>
      <c r="BO209" s="282"/>
      <c r="BP209" s="285"/>
    </row>
    <row r="210" spans="36:68" ht="15.75">
      <c r="AJ210" s="239"/>
      <c r="AK210" s="239"/>
      <c r="AL210" s="239"/>
      <c r="AM210" s="239"/>
      <c r="AN210" s="239"/>
      <c r="AO210" s="239"/>
      <c r="AP210" s="239"/>
      <c r="AQ210" s="239"/>
      <c r="AR210" s="239"/>
      <c r="AS210" s="239"/>
      <c r="AT210" s="239"/>
      <c r="AU210" s="249"/>
      <c r="AV210" s="249"/>
      <c r="AW210" s="239"/>
      <c r="AX210" s="239"/>
      <c r="AY210" s="281"/>
      <c r="AZ210" s="281"/>
      <c r="BA210" s="281"/>
      <c r="BB210" s="239"/>
      <c r="BC210" s="281"/>
      <c r="BD210" s="281"/>
      <c r="BE210" s="281"/>
      <c r="BF210" s="281"/>
      <c r="BG210" s="281"/>
      <c r="BH210" s="281"/>
      <c r="BI210" s="281"/>
      <c r="BJ210" s="281"/>
      <c r="BK210" s="282"/>
      <c r="BL210" s="282"/>
      <c r="BM210" s="282"/>
      <c r="BN210" s="282"/>
      <c r="BO210" s="282"/>
      <c r="BP210" s="285"/>
    </row>
    <row r="211" spans="36:68" ht="15.75">
      <c r="AJ211" s="239"/>
      <c r="AK211" s="239"/>
      <c r="AL211" s="239"/>
      <c r="AM211" s="239"/>
      <c r="AN211" s="239"/>
      <c r="AO211" s="239"/>
      <c r="AP211" s="239"/>
      <c r="AQ211" s="239"/>
      <c r="AR211" s="239"/>
      <c r="AS211" s="239"/>
      <c r="AT211" s="239"/>
      <c r="AU211" s="249"/>
      <c r="AV211" s="249"/>
      <c r="AW211" s="239"/>
      <c r="AX211" s="239"/>
      <c r="AY211" s="281"/>
      <c r="AZ211" s="281"/>
      <c r="BA211" s="281"/>
      <c r="BB211" s="239"/>
      <c r="BC211" s="281"/>
      <c r="BD211" s="281"/>
      <c r="BE211" s="281"/>
      <c r="BF211" s="281"/>
      <c r="BG211" s="281"/>
      <c r="BH211" s="281"/>
      <c r="BI211" s="281"/>
      <c r="BJ211" s="281"/>
      <c r="BK211" s="282"/>
      <c r="BL211" s="282"/>
      <c r="BM211" s="282"/>
      <c r="BN211" s="282"/>
      <c r="BO211" s="282"/>
      <c r="BP211" s="285"/>
    </row>
    <row r="212" spans="36:68" ht="15.75">
      <c r="AJ212" s="239"/>
      <c r="AK212" s="239"/>
      <c r="AL212" s="239"/>
      <c r="AM212" s="239"/>
      <c r="AN212" s="239"/>
      <c r="AO212" s="239"/>
      <c r="AP212" s="239"/>
      <c r="AQ212" s="239"/>
      <c r="AR212" s="239"/>
      <c r="AS212" s="239"/>
      <c r="AT212" s="239"/>
      <c r="AU212" s="249"/>
      <c r="AV212" s="249"/>
      <c r="AW212" s="239"/>
      <c r="AX212" s="239"/>
      <c r="AY212" s="281"/>
      <c r="AZ212" s="281"/>
      <c r="BA212" s="281"/>
      <c r="BB212" s="239"/>
      <c r="BC212" s="281"/>
      <c r="BD212" s="281"/>
      <c r="BE212" s="281"/>
      <c r="BF212" s="281"/>
      <c r="BG212" s="281"/>
      <c r="BH212" s="281"/>
      <c r="BI212" s="281"/>
      <c r="BJ212" s="281"/>
      <c r="BK212" s="282"/>
      <c r="BL212" s="282"/>
      <c r="BM212" s="282"/>
      <c r="BN212" s="282"/>
      <c r="BO212" s="282"/>
      <c r="BP212" s="285"/>
    </row>
    <row r="213" spans="36:68" ht="15.75">
      <c r="AJ213" s="239"/>
      <c r="AK213" s="239"/>
      <c r="AL213" s="239"/>
      <c r="AM213" s="239"/>
      <c r="AN213" s="239"/>
      <c r="AO213" s="239"/>
      <c r="AP213" s="239"/>
      <c r="AQ213" s="239"/>
      <c r="AR213" s="239"/>
      <c r="AS213" s="239"/>
      <c r="AT213" s="239"/>
      <c r="AU213" s="249"/>
      <c r="AV213" s="249"/>
      <c r="AW213" s="239"/>
      <c r="AX213" s="239"/>
      <c r="AY213" s="281"/>
      <c r="AZ213" s="281"/>
      <c r="BA213" s="281"/>
      <c r="BB213" s="239"/>
      <c r="BC213" s="281"/>
      <c r="BD213" s="281"/>
      <c r="BE213" s="281"/>
      <c r="BF213" s="281"/>
      <c r="BG213" s="281"/>
      <c r="BH213" s="281"/>
      <c r="BI213" s="281"/>
      <c r="BJ213" s="281"/>
      <c r="BK213" s="282"/>
      <c r="BL213" s="282"/>
      <c r="BM213" s="282"/>
      <c r="BN213" s="282"/>
      <c r="BO213" s="282"/>
      <c r="BP213" s="285"/>
    </row>
    <row r="214" spans="36:68" ht="15.75">
      <c r="AJ214" s="239"/>
      <c r="AK214" s="239"/>
      <c r="AL214" s="239"/>
      <c r="AM214" s="239"/>
      <c r="AN214" s="239"/>
      <c r="AO214" s="239"/>
      <c r="AP214" s="239"/>
      <c r="AQ214" s="239"/>
      <c r="AR214" s="239"/>
      <c r="AS214" s="239"/>
      <c r="AT214" s="239"/>
      <c r="AU214" s="249"/>
      <c r="AV214" s="249"/>
      <c r="AW214" s="239"/>
      <c r="AX214" s="239"/>
      <c r="AY214" s="281"/>
      <c r="AZ214" s="281"/>
      <c r="BA214" s="281"/>
      <c r="BB214" s="239"/>
      <c r="BC214" s="281"/>
      <c r="BD214" s="281"/>
      <c r="BE214" s="281"/>
      <c r="BF214" s="281"/>
      <c r="BG214" s="281"/>
      <c r="BH214" s="281"/>
      <c r="BI214" s="281"/>
      <c r="BJ214" s="281"/>
      <c r="BK214" s="282"/>
      <c r="BL214" s="282"/>
      <c r="BM214" s="282"/>
      <c r="BN214" s="282"/>
      <c r="BO214" s="282"/>
      <c r="BP214" s="285"/>
    </row>
    <row r="215" spans="36:68" ht="15.75">
      <c r="AJ215" s="239"/>
      <c r="AK215" s="239"/>
      <c r="AL215" s="239"/>
      <c r="AM215" s="239"/>
      <c r="AN215" s="239"/>
      <c r="AO215" s="239"/>
      <c r="AP215" s="239"/>
      <c r="AQ215" s="239"/>
      <c r="AR215" s="239"/>
      <c r="AS215" s="239"/>
      <c r="AT215" s="239"/>
      <c r="AU215" s="249"/>
      <c r="AV215" s="249"/>
      <c r="AW215" s="239"/>
      <c r="AX215" s="239"/>
      <c r="AY215" s="281"/>
      <c r="AZ215" s="281"/>
      <c r="BA215" s="281"/>
      <c r="BB215" s="239"/>
      <c r="BC215" s="281"/>
      <c r="BD215" s="281"/>
      <c r="BE215" s="281"/>
      <c r="BF215" s="281"/>
      <c r="BG215" s="281"/>
      <c r="BH215" s="281"/>
      <c r="BI215" s="281"/>
      <c r="BJ215" s="281"/>
      <c r="BK215" s="282"/>
      <c r="BL215" s="282"/>
      <c r="BM215" s="282"/>
      <c r="BN215" s="282"/>
      <c r="BO215" s="282"/>
      <c r="BP215" s="285"/>
    </row>
    <row r="216" spans="36:68" ht="15.75"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239"/>
      <c r="AT216" s="239"/>
      <c r="AU216" s="249"/>
      <c r="AV216" s="249"/>
      <c r="AW216" s="239"/>
      <c r="AX216" s="239"/>
      <c r="AY216" s="281"/>
      <c r="AZ216" s="281"/>
      <c r="BA216" s="281"/>
      <c r="BB216" s="239"/>
      <c r="BC216" s="281"/>
      <c r="BD216" s="281"/>
      <c r="BE216" s="281"/>
      <c r="BF216" s="281"/>
      <c r="BG216" s="281"/>
      <c r="BH216" s="281"/>
      <c r="BI216" s="281"/>
      <c r="BJ216" s="281"/>
      <c r="BK216" s="282"/>
      <c r="BL216" s="282"/>
      <c r="BM216" s="282"/>
      <c r="BN216" s="282"/>
      <c r="BO216" s="282"/>
      <c r="BP216" s="285"/>
    </row>
    <row r="217" spans="36:68" ht="15.75"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239"/>
      <c r="AT217" s="239"/>
      <c r="AU217" s="249"/>
      <c r="AV217" s="249"/>
      <c r="AW217" s="239"/>
      <c r="AX217" s="239"/>
      <c r="AY217" s="281"/>
      <c r="AZ217" s="281"/>
      <c r="BA217" s="281"/>
      <c r="BB217" s="239"/>
      <c r="BC217" s="281"/>
      <c r="BD217" s="281"/>
      <c r="BE217" s="281"/>
      <c r="BF217" s="281"/>
      <c r="BG217" s="281"/>
      <c r="BH217" s="281"/>
      <c r="BI217" s="281"/>
      <c r="BJ217" s="281"/>
      <c r="BK217" s="282"/>
      <c r="BL217" s="282"/>
      <c r="BM217" s="282"/>
      <c r="BN217" s="282"/>
      <c r="BO217" s="282"/>
      <c r="BP217" s="285"/>
    </row>
    <row r="218" spans="36:68" ht="15.75">
      <c r="AJ218" s="239"/>
      <c r="AK218" s="239"/>
      <c r="AL218" s="239"/>
      <c r="AM218" s="239"/>
      <c r="AN218" s="239"/>
      <c r="AO218" s="239"/>
      <c r="AP218" s="239"/>
      <c r="AQ218" s="239"/>
      <c r="AR218" s="239"/>
      <c r="AS218" s="239"/>
      <c r="AT218" s="239"/>
      <c r="AU218" s="249"/>
      <c r="AV218" s="249"/>
      <c r="AW218" s="239"/>
      <c r="AX218" s="239"/>
      <c r="AY218" s="281"/>
      <c r="AZ218" s="281"/>
      <c r="BA218" s="281"/>
      <c r="BB218" s="239"/>
      <c r="BC218" s="281"/>
      <c r="BD218" s="281"/>
      <c r="BE218" s="281"/>
      <c r="BF218" s="281"/>
      <c r="BG218" s="281"/>
      <c r="BH218" s="281"/>
      <c r="BI218" s="281"/>
      <c r="BJ218" s="281"/>
      <c r="BK218" s="282"/>
      <c r="BL218" s="282"/>
      <c r="BM218" s="282"/>
      <c r="BN218" s="282"/>
      <c r="BO218" s="282"/>
      <c r="BP218" s="285"/>
    </row>
    <row r="219" spans="36:68" ht="15.75">
      <c r="AJ219" s="239"/>
      <c r="AK219" s="239"/>
      <c r="AL219" s="239"/>
      <c r="AM219" s="239"/>
      <c r="AN219" s="239"/>
      <c r="AO219" s="239"/>
      <c r="AP219" s="239"/>
      <c r="AQ219" s="239"/>
      <c r="AR219" s="239"/>
      <c r="AS219" s="239"/>
      <c r="AT219" s="239"/>
      <c r="AU219" s="249"/>
      <c r="AV219" s="249"/>
      <c r="AW219" s="239"/>
      <c r="AX219" s="239"/>
      <c r="AY219" s="281"/>
      <c r="AZ219" s="281"/>
      <c r="BA219" s="281"/>
      <c r="BB219" s="239"/>
      <c r="BC219" s="281"/>
      <c r="BD219" s="281"/>
      <c r="BE219" s="281"/>
      <c r="BF219" s="281"/>
      <c r="BG219" s="281"/>
      <c r="BH219" s="281"/>
      <c r="BI219" s="281"/>
      <c r="BJ219" s="281"/>
      <c r="BK219" s="282"/>
      <c r="BL219" s="282"/>
      <c r="BM219" s="282"/>
      <c r="BN219" s="282"/>
      <c r="BO219" s="282"/>
      <c r="BP219" s="285"/>
    </row>
    <row r="220" spans="36:68" ht="15.75">
      <c r="AJ220" s="239"/>
      <c r="AK220" s="239"/>
      <c r="AL220" s="239"/>
      <c r="AM220" s="239"/>
      <c r="AN220" s="239"/>
      <c r="AO220" s="239"/>
      <c r="AP220" s="239"/>
      <c r="AQ220" s="239"/>
      <c r="AR220" s="239"/>
      <c r="AS220" s="239"/>
      <c r="AT220" s="239"/>
      <c r="AU220" s="249"/>
      <c r="AV220" s="249"/>
      <c r="AW220" s="239"/>
      <c r="AX220" s="239"/>
      <c r="AY220" s="281"/>
      <c r="AZ220" s="281"/>
      <c r="BA220" s="281"/>
      <c r="BB220" s="239"/>
      <c r="BC220" s="281"/>
      <c r="BD220" s="281"/>
      <c r="BE220" s="281"/>
      <c r="BF220" s="281"/>
      <c r="BG220" s="281"/>
      <c r="BH220" s="281"/>
      <c r="BI220" s="281"/>
      <c r="BJ220" s="281"/>
      <c r="BK220" s="282"/>
      <c r="BL220" s="282"/>
      <c r="BM220" s="282"/>
      <c r="BN220" s="282"/>
      <c r="BO220" s="282"/>
      <c r="BP220" s="285"/>
    </row>
    <row r="221" spans="36:68" ht="15.75">
      <c r="AJ221" s="239"/>
      <c r="AK221" s="239"/>
      <c r="AL221" s="239"/>
      <c r="AM221" s="239"/>
      <c r="AN221" s="239"/>
      <c r="AO221" s="239"/>
      <c r="AP221" s="239"/>
      <c r="AQ221" s="239"/>
      <c r="AR221" s="239"/>
      <c r="AS221" s="239"/>
      <c r="AT221" s="239"/>
      <c r="AU221" s="249"/>
      <c r="AV221" s="249"/>
      <c r="AW221" s="239"/>
      <c r="AX221" s="239"/>
      <c r="AY221" s="281"/>
      <c r="AZ221" s="281"/>
      <c r="BA221" s="281"/>
      <c r="BB221" s="239"/>
      <c r="BC221" s="281"/>
      <c r="BD221" s="281"/>
      <c r="BE221" s="281"/>
      <c r="BF221" s="281"/>
      <c r="BG221" s="281"/>
      <c r="BH221" s="281"/>
      <c r="BI221" s="281"/>
      <c r="BJ221" s="281"/>
      <c r="BK221" s="282"/>
      <c r="BL221" s="282"/>
      <c r="BM221" s="282"/>
      <c r="BN221" s="282"/>
      <c r="BO221" s="282"/>
      <c r="BP221" s="285"/>
    </row>
    <row r="222" spans="36:68" ht="15.75">
      <c r="AJ222" s="239"/>
      <c r="AK222" s="239"/>
      <c r="AL222" s="239"/>
      <c r="AM222" s="239"/>
      <c r="AN222" s="239"/>
      <c r="AO222" s="239"/>
      <c r="AP222" s="239"/>
      <c r="AQ222" s="239"/>
      <c r="AR222" s="239"/>
      <c r="AS222" s="239"/>
      <c r="AT222" s="239"/>
      <c r="AU222" s="249"/>
      <c r="AV222" s="249"/>
      <c r="AW222" s="239"/>
      <c r="AX222" s="239"/>
      <c r="AY222" s="281"/>
      <c r="AZ222" s="281"/>
      <c r="BA222" s="281"/>
      <c r="BB222" s="239"/>
      <c r="BC222" s="281"/>
      <c r="BD222" s="281"/>
      <c r="BE222" s="281"/>
      <c r="BF222" s="281"/>
      <c r="BG222" s="281"/>
      <c r="BH222" s="281"/>
      <c r="BI222" s="281"/>
      <c r="BJ222" s="281"/>
      <c r="BK222" s="282"/>
      <c r="BL222" s="282"/>
      <c r="BM222" s="282"/>
      <c r="BN222" s="282"/>
      <c r="BO222" s="282"/>
      <c r="BP222" s="285"/>
    </row>
    <row r="223" spans="36:68" ht="15.75">
      <c r="AJ223" s="239"/>
      <c r="AK223" s="239"/>
      <c r="AL223" s="239"/>
      <c r="AM223" s="239"/>
      <c r="AN223" s="239"/>
      <c r="AO223" s="239"/>
      <c r="AP223" s="239"/>
      <c r="AQ223" s="239"/>
      <c r="AR223" s="239"/>
      <c r="AS223" s="239"/>
      <c r="AT223" s="239"/>
      <c r="AU223" s="249"/>
      <c r="AV223" s="249"/>
      <c r="AW223" s="239"/>
      <c r="AX223" s="239"/>
      <c r="AY223" s="281"/>
      <c r="AZ223" s="281"/>
      <c r="BA223" s="281"/>
      <c r="BB223" s="239"/>
      <c r="BC223" s="281"/>
      <c r="BD223" s="281"/>
      <c r="BE223" s="281"/>
      <c r="BF223" s="281"/>
      <c r="BG223" s="281"/>
      <c r="BH223" s="281"/>
      <c r="BI223" s="281"/>
      <c r="BJ223" s="281"/>
      <c r="BK223" s="282"/>
      <c r="BL223" s="282"/>
      <c r="BM223" s="282"/>
      <c r="BN223" s="282"/>
      <c r="BO223" s="282"/>
      <c r="BP223" s="285"/>
    </row>
    <row r="224" spans="36:68" ht="15.75">
      <c r="AJ224" s="239"/>
      <c r="AK224" s="239"/>
      <c r="AL224" s="239"/>
      <c r="AM224" s="239"/>
      <c r="AN224" s="239"/>
      <c r="AO224" s="239"/>
      <c r="AP224" s="239"/>
      <c r="AQ224" s="239"/>
      <c r="AR224" s="239"/>
      <c r="AS224" s="239"/>
      <c r="AT224" s="239"/>
      <c r="AU224" s="249"/>
      <c r="AV224" s="249"/>
      <c r="AW224" s="239"/>
      <c r="AX224" s="239"/>
      <c r="AY224" s="281"/>
      <c r="AZ224" s="281"/>
      <c r="BA224" s="281"/>
      <c r="BB224" s="239"/>
      <c r="BC224" s="281"/>
      <c r="BD224" s="281"/>
      <c r="BE224" s="281"/>
      <c r="BF224" s="281"/>
      <c r="BG224" s="281"/>
      <c r="BH224" s="281"/>
      <c r="BI224" s="281"/>
      <c r="BJ224" s="281"/>
      <c r="BK224" s="282"/>
      <c r="BL224" s="282"/>
      <c r="BM224" s="282"/>
      <c r="BN224" s="282"/>
      <c r="BO224" s="282"/>
      <c r="BP224" s="285"/>
    </row>
    <row r="225" spans="36:68" ht="15.75"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239"/>
      <c r="AT225" s="239"/>
      <c r="AU225" s="249"/>
      <c r="AV225" s="249"/>
      <c r="AW225" s="239"/>
      <c r="AX225" s="239"/>
      <c r="AY225" s="281"/>
      <c r="AZ225" s="281"/>
      <c r="BA225" s="281"/>
      <c r="BB225" s="239"/>
      <c r="BC225" s="281"/>
      <c r="BD225" s="281"/>
      <c r="BE225" s="281"/>
      <c r="BF225" s="281"/>
      <c r="BG225" s="281"/>
      <c r="BH225" s="281"/>
      <c r="BI225" s="281"/>
      <c r="BJ225" s="281"/>
      <c r="BK225" s="282"/>
      <c r="BL225" s="282"/>
      <c r="BM225" s="282"/>
      <c r="BN225" s="282"/>
      <c r="BO225" s="282"/>
      <c r="BP225" s="285"/>
    </row>
    <row r="226" spans="36:68" ht="15.75">
      <c r="AJ226" s="239"/>
      <c r="AK226" s="239"/>
      <c r="AL226" s="239"/>
      <c r="AM226" s="239"/>
      <c r="AN226" s="239"/>
      <c r="AO226" s="239"/>
      <c r="AP226" s="239"/>
      <c r="AQ226" s="239"/>
      <c r="AR226" s="239"/>
      <c r="AS226" s="239"/>
      <c r="AT226" s="239"/>
      <c r="AU226" s="249"/>
      <c r="AV226" s="249"/>
      <c r="AW226" s="239"/>
      <c r="AX226" s="239"/>
      <c r="AY226" s="281"/>
      <c r="AZ226" s="281"/>
      <c r="BA226" s="281"/>
      <c r="BB226" s="239"/>
      <c r="BC226" s="281"/>
      <c r="BD226" s="281"/>
      <c r="BE226" s="281"/>
      <c r="BF226" s="281"/>
      <c r="BG226" s="281"/>
      <c r="BH226" s="281"/>
      <c r="BI226" s="281"/>
      <c r="BJ226" s="281"/>
      <c r="BK226" s="282"/>
      <c r="BL226" s="282"/>
      <c r="BM226" s="282"/>
      <c r="BN226" s="282"/>
      <c r="BO226" s="282"/>
      <c r="BP226" s="285"/>
    </row>
    <row r="227" spans="36:68" ht="15.75">
      <c r="AJ227" s="239"/>
      <c r="AK227" s="239"/>
      <c r="AL227" s="239"/>
      <c r="AM227" s="239"/>
      <c r="AN227" s="239"/>
      <c r="AO227" s="239"/>
      <c r="AP227" s="239"/>
      <c r="AQ227" s="239"/>
      <c r="AR227" s="239"/>
      <c r="AS227" s="239"/>
      <c r="AT227" s="239"/>
      <c r="AU227" s="249"/>
      <c r="AV227" s="249"/>
      <c r="AW227" s="239"/>
      <c r="AX227" s="239"/>
      <c r="AY227" s="281"/>
      <c r="AZ227" s="281"/>
      <c r="BA227" s="281"/>
      <c r="BB227" s="239"/>
      <c r="BC227" s="281"/>
      <c r="BD227" s="281"/>
      <c r="BE227" s="281"/>
      <c r="BF227" s="281"/>
      <c r="BG227" s="281"/>
      <c r="BH227" s="281"/>
      <c r="BI227" s="281"/>
      <c r="BJ227" s="281"/>
      <c r="BK227" s="282"/>
      <c r="BL227" s="282"/>
      <c r="BM227" s="282"/>
      <c r="BN227" s="282"/>
      <c r="BO227" s="282"/>
      <c r="BP227" s="285"/>
    </row>
    <row r="228" spans="36:68" ht="15.75">
      <c r="AJ228" s="239"/>
      <c r="AK228" s="239"/>
      <c r="AL228" s="239"/>
      <c r="AM228" s="239"/>
      <c r="AN228" s="239"/>
      <c r="AO228" s="239"/>
      <c r="AP228" s="239"/>
      <c r="AQ228" s="239"/>
      <c r="AR228" s="239"/>
      <c r="AS228" s="239"/>
      <c r="AT228" s="239"/>
      <c r="AU228" s="249"/>
      <c r="AV228" s="249"/>
      <c r="AW228" s="239"/>
      <c r="AX228" s="239"/>
      <c r="AY228" s="281"/>
      <c r="AZ228" s="281"/>
      <c r="BA228" s="281"/>
      <c r="BB228" s="239"/>
      <c r="BC228" s="281"/>
      <c r="BD228" s="281"/>
      <c r="BE228" s="281"/>
      <c r="BF228" s="281"/>
      <c r="BG228" s="281"/>
      <c r="BH228" s="281"/>
      <c r="BI228" s="281"/>
      <c r="BJ228" s="281"/>
      <c r="BK228" s="282"/>
      <c r="BL228" s="282"/>
      <c r="BM228" s="282"/>
      <c r="BN228" s="282"/>
      <c r="BO228" s="282"/>
      <c r="BP228" s="285"/>
    </row>
    <row r="229" spans="36:68" ht="15.75">
      <c r="AJ229" s="239"/>
      <c r="AK229" s="239"/>
      <c r="AL229" s="239"/>
      <c r="AM229" s="239"/>
      <c r="AN229" s="239"/>
      <c r="AO229" s="239"/>
      <c r="AP229" s="239"/>
      <c r="AQ229" s="239"/>
      <c r="AR229" s="239"/>
      <c r="AS229" s="239"/>
      <c r="AT229" s="239"/>
      <c r="AU229" s="249"/>
      <c r="AV229" s="249"/>
      <c r="AW229" s="239"/>
      <c r="AX229" s="239"/>
      <c r="AY229" s="281"/>
      <c r="AZ229" s="281"/>
      <c r="BA229" s="281"/>
      <c r="BB229" s="239"/>
      <c r="BC229" s="281"/>
      <c r="BD229" s="281"/>
      <c r="BE229" s="281"/>
      <c r="BF229" s="281"/>
      <c r="BG229" s="281"/>
      <c r="BH229" s="281"/>
      <c r="BI229" s="281"/>
      <c r="BJ229" s="281"/>
      <c r="BK229" s="282"/>
      <c r="BL229" s="282"/>
      <c r="BM229" s="282"/>
      <c r="BN229" s="282"/>
      <c r="BO229" s="282"/>
      <c r="BP229" s="285"/>
    </row>
    <row r="230" spans="36:68" ht="15.75">
      <c r="AJ230" s="239"/>
      <c r="AK230" s="239"/>
      <c r="AL230" s="239"/>
      <c r="AM230" s="239"/>
      <c r="AN230" s="239"/>
      <c r="AO230" s="239"/>
      <c r="AP230" s="239"/>
      <c r="AQ230" s="239"/>
      <c r="AR230" s="239"/>
      <c r="AS230" s="239"/>
      <c r="AT230" s="239"/>
      <c r="AU230" s="249"/>
      <c r="AV230" s="249"/>
      <c r="AW230" s="239"/>
      <c r="AX230" s="239"/>
      <c r="AY230" s="281"/>
      <c r="AZ230" s="281"/>
      <c r="BA230" s="281"/>
      <c r="BB230" s="239"/>
      <c r="BC230" s="281"/>
      <c r="BD230" s="281"/>
      <c r="BE230" s="281"/>
      <c r="BF230" s="281"/>
      <c r="BG230" s="281"/>
      <c r="BH230" s="281"/>
      <c r="BI230" s="281"/>
      <c r="BJ230" s="281"/>
      <c r="BK230" s="282"/>
      <c r="BL230" s="282"/>
      <c r="BM230" s="282"/>
      <c r="BN230" s="282"/>
      <c r="BO230" s="282"/>
      <c r="BP230" s="285"/>
    </row>
    <row r="231" spans="36:68" ht="15.75">
      <c r="AJ231" s="239"/>
      <c r="AK231" s="239"/>
      <c r="AL231" s="239"/>
      <c r="AM231" s="239"/>
      <c r="AN231" s="239"/>
      <c r="AO231" s="239"/>
      <c r="AP231" s="239"/>
      <c r="AQ231" s="239"/>
      <c r="AR231" s="239"/>
      <c r="AS231" s="239"/>
      <c r="AT231" s="239"/>
      <c r="AU231" s="249"/>
      <c r="AV231" s="249"/>
      <c r="AW231" s="239"/>
      <c r="AX231" s="239"/>
      <c r="AY231" s="281"/>
      <c r="AZ231" s="281"/>
      <c r="BA231" s="281"/>
      <c r="BB231" s="239"/>
      <c r="BC231" s="281"/>
      <c r="BD231" s="281"/>
      <c r="BE231" s="281"/>
      <c r="BF231" s="281"/>
      <c r="BG231" s="281"/>
      <c r="BH231" s="281"/>
      <c r="BI231" s="281"/>
      <c r="BJ231" s="281"/>
      <c r="BK231" s="282"/>
      <c r="BL231" s="282"/>
      <c r="BM231" s="282"/>
      <c r="BN231" s="282"/>
      <c r="BO231" s="282"/>
      <c r="BP231" s="285"/>
    </row>
    <row r="232" spans="36:68" ht="15.75">
      <c r="AJ232" s="239"/>
      <c r="AK232" s="239"/>
      <c r="AL232" s="239"/>
      <c r="AM232" s="239"/>
      <c r="AN232" s="239"/>
      <c r="AO232" s="239"/>
      <c r="AP232" s="239"/>
      <c r="AQ232" s="239"/>
      <c r="AR232" s="239"/>
      <c r="AS232" s="239"/>
      <c r="AT232" s="239"/>
      <c r="AU232" s="249"/>
      <c r="AV232" s="249"/>
      <c r="AW232" s="239"/>
      <c r="AX232" s="239"/>
      <c r="AY232" s="281"/>
      <c r="AZ232" s="281"/>
      <c r="BA232" s="281"/>
      <c r="BB232" s="239"/>
      <c r="BC232" s="281"/>
      <c r="BD232" s="281"/>
      <c r="BE232" s="281"/>
      <c r="BF232" s="281"/>
      <c r="BG232" s="281"/>
      <c r="BH232" s="281"/>
      <c r="BI232" s="281"/>
      <c r="BJ232" s="281"/>
      <c r="BK232" s="282"/>
      <c r="BL232" s="282"/>
      <c r="BM232" s="282"/>
      <c r="BN232" s="282"/>
      <c r="BO232" s="282"/>
      <c r="BP232" s="285"/>
    </row>
    <row r="233" spans="36:68" ht="15.75">
      <c r="AJ233" s="239"/>
      <c r="AK233" s="239"/>
      <c r="AL233" s="239"/>
      <c r="AM233" s="239"/>
      <c r="AN233" s="239"/>
      <c r="AO233" s="239"/>
      <c r="AP233" s="239"/>
      <c r="AQ233" s="239"/>
      <c r="AR233" s="239"/>
      <c r="AS233" s="239"/>
      <c r="AT233" s="239"/>
      <c r="AU233" s="249"/>
      <c r="AV233" s="249"/>
      <c r="AW233" s="239"/>
      <c r="AX233" s="239"/>
      <c r="AY233" s="281"/>
      <c r="AZ233" s="281"/>
      <c r="BA233" s="281"/>
      <c r="BB233" s="239"/>
      <c r="BC233" s="281"/>
      <c r="BD233" s="281"/>
      <c r="BE233" s="281"/>
      <c r="BF233" s="281"/>
      <c r="BG233" s="281"/>
      <c r="BH233" s="281"/>
      <c r="BI233" s="281"/>
      <c r="BJ233" s="281"/>
      <c r="BK233" s="282"/>
      <c r="BL233" s="282"/>
      <c r="BM233" s="282"/>
      <c r="BN233" s="282"/>
      <c r="BO233" s="282"/>
      <c r="BP233" s="285"/>
    </row>
    <row r="234" spans="36:68" ht="15.75">
      <c r="AJ234" s="239"/>
      <c r="AK234" s="239"/>
      <c r="AL234" s="239"/>
      <c r="AM234" s="239"/>
      <c r="AN234" s="239"/>
      <c r="AO234" s="239"/>
      <c r="AP234" s="239"/>
      <c r="AQ234" s="239"/>
      <c r="AR234" s="239"/>
      <c r="AS234" s="239"/>
      <c r="AT234" s="239"/>
      <c r="AU234" s="249"/>
      <c r="AV234" s="249"/>
      <c r="AW234" s="239"/>
      <c r="AX234" s="239"/>
      <c r="AY234" s="281"/>
      <c r="AZ234" s="281"/>
      <c r="BA234" s="281"/>
      <c r="BB234" s="239"/>
      <c r="BC234" s="281"/>
      <c r="BD234" s="281"/>
      <c r="BE234" s="281"/>
      <c r="BF234" s="281"/>
      <c r="BG234" s="281"/>
      <c r="BH234" s="281"/>
      <c r="BI234" s="281"/>
      <c r="BJ234" s="281"/>
      <c r="BK234" s="282"/>
      <c r="BL234" s="282"/>
      <c r="BM234" s="282"/>
      <c r="BN234" s="282"/>
      <c r="BO234" s="282"/>
      <c r="BP234" s="285"/>
    </row>
    <row r="235" spans="36:68" ht="15.75"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239"/>
      <c r="AT235" s="239"/>
      <c r="AU235" s="249"/>
      <c r="AV235" s="249"/>
      <c r="AW235" s="239"/>
      <c r="AX235" s="239"/>
      <c r="AY235" s="281"/>
      <c r="AZ235" s="281"/>
      <c r="BA235" s="281"/>
      <c r="BB235" s="239"/>
      <c r="BC235" s="281"/>
      <c r="BD235" s="281"/>
      <c r="BE235" s="281"/>
      <c r="BF235" s="281"/>
      <c r="BG235" s="281"/>
      <c r="BH235" s="281"/>
      <c r="BI235" s="281"/>
      <c r="BJ235" s="281"/>
      <c r="BK235" s="282"/>
      <c r="BL235" s="282"/>
      <c r="BM235" s="282"/>
      <c r="BN235" s="282"/>
      <c r="BO235" s="282"/>
      <c r="BP235" s="285"/>
    </row>
    <row r="236" spans="36:68" ht="15.75"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239"/>
      <c r="AT236" s="239"/>
      <c r="AU236" s="249"/>
      <c r="AV236" s="249"/>
      <c r="AW236" s="239"/>
      <c r="AX236" s="239"/>
      <c r="AY236" s="281"/>
      <c r="AZ236" s="281"/>
      <c r="BA236" s="281"/>
      <c r="BB236" s="239"/>
      <c r="BC236" s="281"/>
      <c r="BD236" s="281"/>
      <c r="BE236" s="281"/>
      <c r="BF236" s="281"/>
      <c r="BG236" s="281"/>
      <c r="BH236" s="281"/>
      <c r="BI236" s="281"/>
      <c r="BJ236" s="281"/>
      <c r="BK236" s="282"/>
      <c r="BL236" s="282"/>
      <c r="BM236" s="282"/>
      <c r="BN236" s="282"/>
      <c r="BO236" s="282"/>
      <c r="BP236" s="285"/>
    </row>
    <row r="237" spans="36:68" ht="15.75">
      <c r="AJ237" s="239"/>
      <c r="AK237" s="239"/>
      <c r="AL237" s="239"/>
      <c r="AM237" s="239"/>
      <c r="AN237" s="239"/>
      <c r="AO237" s="239"/>
      <c r="AP237" s="239"/>
      <c r="AQ237" s="239"/>
      <c r="AR237" s="239"/>
      <c r="AS237" s="239"/>
      <c r="AT237" s="239"/>
      <c r="AU237" s="249"/>
      <c r="AV237" s="249"/>
      <c r="AW237" s="239"/>
      <c r="AX237" s="239"/>
      <c r="AY237" s="281"/>
      <c r="AZ237" s="281"/>
      <c r="BA237" s="281"/>
      <c r="BB237" s="239"/>
      <c r="BC237" s="281"/>
      <c r="BD237" s="281"/>
      <c r="BE237" s="281"/>
      <c r="BF237" s="281"/>
      <c r="BG237" s="281"/>
      <c r="BH237" s="281"/>
      <c r="BI237" s="281"/>
      <c r="BJ237" s="281"/>
      <c r="BK237" s="282"/>
      <c r="BL237" s="282"/>
      <c r="BM237" s="282"/>
      <c r="BN237" s="282"/>
      <c r="BO237" s="282"/>
      <c r="BP237" s="285"/>
    </row>
    <row r="238" spans="36:68" ht="15.75">
      <c r="AJ238" s="239"/>
      <c r="AK238" s="239"/>
      <c r="AL238" s="239"/>
      <c r="AM238" s="239"/>
      <c r="AN238" s="239"/>
      <c r="AO238" s="239"/>
      <c r="AP238" s="239"/>
      <c r="AQ238" s="239"/>
      <c r="AR238" s="239"/>
      <c r="AS238" s="239"/>
      <c r="AT238" s="239"/>
      <c r="AU238" s="249"/>
      <c r="AV238" s="249"/>
      <c r="AW238" s="239"/>
      <c r="AX238" s="239"/>
      <c r="AY238" s="281"/>
      <c r="AZ238" s="281"/>
      <c r="BA238" s="281"/>
      <c r="BB238" s="239"/>
      <c r="BC238" s="281"/>
      <c r="BD238" s="281"/>
      <c r="BE238" s="281"/>
      <c r="BF238" s="281"/>
      <c r="BG238" s="281"/>
      <c r="BH238" s="281"/>
      <c r="BI238" s="281"/>
      <c r="BJ238" s="281"/>
      <c r="BK238" s="282"/>
      <c r="BL238" s="282"/>
      <c r="BM238" s="282"/>
      <c r="BN238" s="282"/>
      <c r="BO238" s="282"/>
      <c r="BP238" s="285"/>
    </row>
    <row r="239" spans="36:68" ht="15.75">
      <c r="AJ239" s="239"/>
      <c r="AK239" s="239"/>
      <c r="AL239" s="239"/>
      <c r="AM239" s="239"/>
      <c r="AN239" s="239"/>
      <c r="AO239" s="239"/>
      <c r="AP239" s="239"/>
      <c r="AQ239" s="239"/>
      <c r="AR239" s="239"/>
      <c r="AS239" s="239"/>
      <c r="AT239" s="239"/>
      <c r="AU239" s="249"/>
      <c r="AV239" s="249"/>
      <c r="AW239" s="239"/>
      <c r="AX239" s="239"/>
      <c r="AY239" s="281"/>
      <c r="AZ239" s="281"/>
      <c r="BA239" s="281"/>
      <c r="BB239" s="239"/>
      <c r="BC239" s="281"/>
      <c r="BD239" s="281"/>
      <c r="BE239" s="281"/>
      <c r="BF239" s="281"/>
      <c r="BG239" s="281"/>
      <c r="BH239" s="281"/>
      <c r="BI239" s="281"/>
      <c r="BJ239" s="281"/>
      <c r="BK239" s="282"/>
      <c r="BL239" s="282"/>
      <c r="BM239" s="282"/>
      <c r="BN239" s="282"/>
      <c r="BO239" s="282"/>
      <c r="BP239" s="285"/>
    </row>
    <row r="240" spans="36:68" ht="15.75">
      <c r="AJ240" s="239"/>
      <c r="AK240" s="239"/>
      <c r="AL240" s="239"/>
      <c r="AM240" s="239"/>
      <c r="AN240" s="239"/>
      <c r="AO240" s="239"/>
      <c r="AP240" s="239"/>
      <c r="AQ240" s="239"/>
      <c r="AR240" s="239"/>
      <c r="AS240" s="239"/>
      <c r="AT240" s="239"/>
      <c r="AU240" s="249"/>
      <c r="AV240" s="249"/>
      <c r="AW240" s="239"/>
      <c r="AX240" s="239"/>
      <c r="AY240" s="281"/>
      <c r="AZ240" s="281"/>
      <c r="BA240" s="281"/>
      <c r="BB240" s="239"/>
      <c r="BC240" s="281"/>
      <c r="BD240" s="281"/>
      <c r="BE240" s="281"/>
      <c r="BF240" s="281"/>
      <c r="BG240" s="281"/>
      <c r="BH240" s="281"/>
      <c r="BI240" s="281"/>
      <c r="BJ240" s="281"/>
      <c r="BK240" s="282"/>
      <c r="BL240" s="282"/>
      <c r="BM240" s="282"/>
      <c r="BN240" s="282"/>
      <c r="BO240" s="282"/>
      <c r="BP240" s="285"/>
    </row>
    <row r="241" spans="36:68" ht="15.75">
      <c r="AJ241" s="239"/>
      <c r="AK241" s="239"/>
      <c r="AL241" s="239"/>
      <c r="AM241" s="239"/>
      <c r="AN241" s="239"/>
      <c r="AO241" s="239"/>
      <c r="AP241" s="239"/>
      <c r="AQ241" s="239"/>
      <c r="AR241" s="239"/>
      <c r="AS241" s="239"/>
      <c r="AT241" s="239"/>
      <c r="AU241" s="249"/>
      <c r="AV241" s="249"/>
      <c r="AW241" s="239"/>
      <c r="AX241" s="239"/>
      <c r="AY241" s="281"/>
      <c r="AZ241" s="281"/>
      <c r="BA241" s="281"/>
      <c r="BB241" s="239"/>
      <c r="BC241" s="281"/>
      <c r="BD241" s="281"/>
      <c r="BE241" s="281"/>
      <c r="BF241" s="281"/>
      <c r="BG241" s="281"/>
      <c r="BH241" s="281"/>
      <c r="BI241" s="281"/>
      <c r="BJ241" s="281"/>
      <c r="BK241" s="282"/>
      <c r="BL241" s="282"/>
      <c r="BM241" s="282"/>
      <c r="BN241" s="282"/>
      <c r="BO241" s="282"/>
      <c r="BP241" s="285"/>
    </row>
    <row r="242" spans="36:68" ht="15.75">
      <c r="AJ242" s="239"/>
      <c r="AK242" s="239"/>
      <c r="AL242" s="239"/>
      <c r="AM242" s="239"/>
      <c r="AN242" s="239"/>
      <c r="AO242" s="239"/>
      <c r="AP242" s="239"/>
      <c r="AQ242" s="239"/>
      <c r="AR242" s="239"/>
      <c r="AS242" s="239"/>
      <c r="AT242" s="239"/>
      <c r="AU242" s="249"/>
      <c r="AV242" s="249"/>
      <c r="AW242" s="239"/>
      <c r="AX242" s="239"/>
      <c r="AY242" s="281"/>
      <c r="AZ242" s="281"/>
      <c r="BA242" s="281"/>
      <c r="BB242" s="239"/>
      <c r="BC242" s="281"/>
      <c r="BD242" s="281"/>
      <c r="BE242" s="281"/>
      <c r="BF242" s="281"/>
      <c r="BG242" s="281"/>
      <c r="BH242" s="281"/>
      <c r="BI242" s="281"/>
      <c r="BJ242" s="281"/>
      <c r="BK242" s="282"/>
      <c r="BL242" s="282"/>
      <c r="BM242" s="282"/>
      <c r="BN242" s="282"/>
      <c r="BO242" s="282"/>
      <c r="BP242" s="285"/>
    </row>
    <row r="243" spans="36:68" ht="15.75">
      <c r="AJ243" s="239"/>
      <c r="AK243" s="239"/>
      <c r="AL243" s="239"/>
      <c r="AM243" s="239"/>
      <c r="AN243" s="239"/>
      <c r="AO243" s="239"/>
      <c r="AP243" s="239"/>
      <c r="AQ243" s="239"/>
      <c r="AR243" s="239"/>
      <c r="AS243" s="239"/>
      <c r="AT243" s="239"/>
      <c r="AU243" s="249"/>
      <c r="AV243" s="249"/>
      <c r="AW243" s="239"/>
      <c r="AX243" s="239"/>
      <c r="AY243" s="281"/>
      <c r="AZ243" s="281"/>
      <c r="BA243" s="281"/>
      <c r="BB243" s="239"/>
      <c r="BC243" s="281"/>
      <c r="BD243" s="281"/>
      <c r="BE243" s="281"/>
      <c r="BF243" s="281"/>
      <c r="BG243" s="281"/>
      <c r="BH243" s="281"/>
      <c r="BI243" s="281"/>
      <c r="BJ243" s="281"/>
      <c r="BK243" s="282"/>
      <c r="BL243" s="282"/>
      <c r="BM243" s="282"/>
      <c r="BN243" s="282"/>
      <c r="BO243" s="282"/>
      <c r="BP243" s="285"/>
    </row>
    <row r="244" spans="36:68" ht="15.75">
      <c r="AJ244" s="239"/>
      <c r="AK244" s="239"/>
      <c r="AL244" s="239"/>
      <c r="AM244" s="239"/>
      <c r="AN244" s="239"/>
      <c r="AO244" s="239"/>
      <c r="AP244" s="239"/>
      <c r="AQ244" s="239"/>
      <c r="AR244" s="239"/>
      <c r="AS244" s="239"/>
      <c r="AT244" s="239"/>
      <c r="AU244" s="249"/>
      <c r="AV244" s="249"/>
      <c r="AW244" s="239"/>
      <c r="AX244" s="239"/>
      <c r="AY244" s="281"/>
      <c r="AZ244" s="281"/>
      <c r="BA244" s="281"/>
      <c r="BB244" s="239"/>
      <c r="BC244" s="281"/>
      <c r="BD244" s="281"/>
      <c r="BE244" s="281"/>
      <c r="BF244" s="281"/>
      <c r="BG244" s="281"/>
      <c r="BH244" s="281"/>
      <c r="BI244" s="281"/>
      <c r="BJ244" s="281"/>
      <c r="BK244" s="282"/>
      <c r="BL244" s="282"/>
      <c r="BM244" s="282"/>
      <c r="BN244" s="282"/>
      <c r="BO244" s="282"/>
      <c r="BP244" s="285"/>
    </row>
    <row r="245" spans="36:68" ht="15.75">
      <c r="AJ245" s="239"/>
      <c r="AK245" s="239"/>
      <c r="AL245" s="239"/>
      <c r="AM245" s="239"/>
      <c r="AN245" s="239"/>
      <c r="AO245" s="239"/>
      <c r="AP245" s="239"/>
      <c r="AQ245" s="239"/>
      <c r="AR245" s="239"/>
      <c r="AS245" s="239"/>
      <c r="AT245" s="239"/>
      <c r="AU245" s="249"/>
      <c r="AV245" s="249"/>
      <c r="AW245" s="239"/>
      <c r="AX245" s="239"/>
      <c r="AY245" s="281"/>
      <c r="AZ245" s="281"/>
      <c r="BA245" s="281"/>
      <c r="BB245" s="239"/>
      <c r="BC245" s="281"/>
      <c r="BD245" s="281"/>
      <c r="BE245" s="281"/>
      <c r="BF245" s="281"/>
      <c r="BG245" s="281"/>
      <c r="BH245" s="281"/>
      <c r="BI245" s="281"/>
      <c r="BJ245" s="281"/>
      <c r="BK245" s="282"/>
      <c r="BL245" s="282"/>
      <c r="BM245" s="282"/>
      <c r="BN245" s="282"/>
      <c r="BO245" s="282"/>
      <c r="BP245" s="285"/>
    </row>
    <row r="246" spans="36:68" ht="15.75"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239"/>
      <c r="AT246" s="239"/>
      <c r="AU246" s="249"/>
      <c r="AV246" s="249"/>
      <c r="AW246" s="239"/>
      <c r="AX246" s="239"/>
      <c r="AY246" s="281"/>
      <c r="AZ246" s="281"/>
      <c r="BA246" s="281"/>
      <c r="BB246" s="239"/>
      <c r="BC246" s="281"/>
      <c r="BD246" s="281"/>
      <c r="BE246" s="281"/>
      <c r="BF246" s="281"/>
      <c r="BG246" s="281"/>
      <c r="BH246" s="281"/>
      <c r="BI246" s="281"/>
      <c r="BJ246" s="281"/>
      <c r="BK246" s="282"/>
      <c r="BL246" s="282"/>
      <c r="BM246" s="282"/>
      <c r="BN246" s="282"/>
      <c r="BO246" s="282"/>
      <c r="BP246" s="285"/>
    </row>
    <row r="247" spans="36:68" ht="15.75">
      <c r="AJ247" s="239"/>
      <c r="AK247" s="239"/>
      <c r="AL247" s="239"/>
      <c r="AM247" s="239"/>
      <c r="AN247" s="239"/>
      <c r="AO247" s="239"/>
      <c r="AP247" s="239"/>
      <c r="AQ247" s="239"/>
      <c r="AR247" s="239"/>
      <c r="AS247" s="239"/>
      <c r="AT247" s="239"/>
      <c r="AU247" s="249"/>
      <c r="AV247" s="249"/>
      <c r="AW247" s="239"/>
      <c r="AX247" s="239"/>
      <c r="AY247" s="281"/>
      <c r="AZ247" s="281"/>
      <c r="BA247" s="281"/>
      <c r="BB247" s="239"/>
      <c r="BC247" s="281"/>
      <c r="BD247" s="281"/>
      <c r="BE247" s="281"/>
      <c r="BF247" s="281"/>
      <c r="BG247" s="281"/>
      <c r="BH247" s="281"/>
      <c r="BI247" s="281"/>
      <c r="BJ247" s="281"/>
      <c r="BK247" s="282"/>
      <c r="BL247" s="282"/>
      <c r="BM247" s="282"/>
      <c r="BN247" s="282"/>
      <c r="BO247" s="282"/>
      <c r="BP247" s="285"/>
    </row>
    <row r="248" spans="36:68" ht="15.75">
      <c r="AJ248" s="239"/>
      <c r="AK248" s="239"/>
      <c r="AL248" s="239"/>
      <c r="AM248" s="239"/>
      <c r="AN248" s="239"/>
      <c r="AO248" s="239"/>
      <c r="AP248" s="239"/>
      <c r="AQ248" s="239"/>
      <c r="AR248" s="239"/>
      <c r="AS248" s="239"/>
      <c r="AT248" s="239"/>
      <c r="AU248" s="249"/>
      <c r="AV248" s="249"/>
      <c r="AW248" s="239"/>
      <c r="AX248" s="239"/>
      <c r="AY248" s="281"/>
      <c r="AZ248" s="281"/>
      <c r="BA248" s="281"/>
      <c r="BB248" s="239"/>
      <c r="BC248" s="281"/>
      <c r="BD248" s="281"/>
      <c r="BE248" s="281"/>
      <c r="BF248" s="281"/>
      <c r="BG248" s="281"/>
      <c r="BH248" s="281"/>
      <c r="BI248" s="281"/>
      <c r="BJ248" s="281"/>
      <c r="BK248" s="282"/>
      <c r="BL248" s="282"/>
      <c r="BM248" s="282"/>
      <c r="BN248" s="282"/>
      <c r="BO248" s="282"/>
      <c r="BP248" s="285"/>
    </row>
    <row r="249" spans="36:68" ht="15.75">
      <c r="AJ249" s="239"/>
      <c r="AK249" s="239"/>
      <c r="AL249" s="239"/>
      <c r="AM249" s="239"/>
      <c r="AN249" s="239"/>
      <c r="AO249" s="239"/>
      <c r="AP249" s="239"/>
      <c r="AQ249" s="239"/>
      <c r="AR249" s="239"/>
      <c r="AS249" s="239"/>
      <c r="AT249" s="239"/>
      <c r="AU249" s="249"/>
      <c r="AV249" s="249"/>
      <c r="AW249" s="239"/>
      <c r="AX249" s="239"/>
      <c r="AY249" s="281"/>
      <c r="AZ249" s="281"/>
      <c r="BA249" s="281"/>
      <c r="BB249" s="239"/>
      <c r="BC249" s="281"/>
      <c r="BD249" s="281"/>
      <c r="BE249" s="281"/>
      <c r="BF249" s="281"/>
      <c r="BG249" s="281"/>
      <c r="BH249" s="281"/>
      <c r="BI249" s="281"/>
      <c r="BJ249" s="281"/>
      <c r="BK249" s="282"/>
      <c r="BL249" s="282"/>
      <c r="BM249" s="282"/>
      <c r="BN249" s="282"/>
      <c r="BO249" s="282"/>
      <c r="BP249" s="285"/>
    </row>
    <row r="250" spans="36:68" ht="15.75">
      <c r="AJ250" s="239"/>
      <c r="AK250" s="239"/>
      <c r="AL250" s="239"/>
      <c r="AM250" s="239"/>
      <c r="AN250" s="239"/>
      <c r="AO250" s="239"/>
      <c r="AP250" s="239"/>
      <c r="AQ250" s="239"/>
      <c r="AR250" s="239"/>
      <c r="AS250" s="239"/>
      <c r="AT250" s="239"/>
      <c r="AU250" s="249"/>
      <c r="AV250" s="249"/>
      <c r="AW250" s="239"/>
      <c r="AX250" s="239"/>
      <c r="AY250" s="281"/>
      <c r="AZ250" s="281"/>
      <c r="BA250" s="281"/>
      <c r="BB250" s="239"/>
      <c r="BC250" s="281"/>
      <c r="BD250" s="281"/>
      <c r="BE250" s="281"/>
      <c r="BF250" s="281"/>
      <c r="BG250" s="281"/>
      <c r="BH250" s="281"/>
      <c r="BI250" s="281"/>
      <c r="BJ250" s="281"/>
      <c r="BK250" s="282"/>
      <c r="BL250" s="282"/>
      <c r="BM250" s="282"/>
      <c r="BN250" s="282"/>
      <c r="BO250" s="282"/>
      <c r="BP250" s="285"/>
    </row>
    <row r="251" spans="36:68" ht="15.75">
      <c r="AJ251" s="239"/>
      <c r="AK251" s="239"/>
      <c r="AL251" s="239"/>
      <c r="AM251" s="239"/>
      <c r="AN251" s="239"/>
      <c r="AO251" s="239"/>
      <c r="AP251" s="239"/>
      <c r="AQ251" s="239"/>
      <c r="AR251" s="239"/>
      <c r="AS251" s="239"/>
      <c r="AT251" s="239"/>
      <c r="AU251" s="249"/>
      <c r="AV251" s="249"/>
      <c r="AW251" s="239"/>
      <c r="AX251" s="239"/>
      <c r="AY251" s="281"/>
      <c r="AZ251" s="281"/>
      <c r="BA251" s="281"/>
      <c r="BB251" s="239"/>
      <c r="BC251" s="281"/>
      <c r="BD251" s="281"/>
      <c r="BE251" s="281"/>
      <c r="BF251" s="281"/>
      <c r="BG251" s="281"/>
      <c r="BH251" s="281"/>
      <c r="BI251" s="281"/>
      <c r="BJ251" s="281"/>
      <c r="BK251" s="282"/>
      <c r="BL251" s="282"/>
      <c r="BM251" s="282"/>
      <c r="BN251" s="282"/>
      <c r="BO251" s="282"/>
      <c r="BP251" s="285"/>
    </row>
    <row r="252" spans="36:68" ht="15.75">
      <c r="AJ252" s="239"/>
      <c r="AK252" s="239"/>
      <c r="AL252" s="239"/>
      <c r="AM252" s="239"/>
      <c r="AN252" s="239"/>
      <c r="AO252" s="239"/>
      <c r="AP252" s="239"/>
      <c r="AQ252" s="239"/>
      <c r="AR252" s="239"/>
      <c r="AS252" s="239"/>
      <c r="AT252" s="239"/>
      <c r="AU252" s="249"/>
      <c r="AV252" s="249"/>
      <c r="AW252" s="239"/>
      <c r="AX252" s="239"/>
      <c r="AY252" s="281"/>
      <c r="AZ252" s="281"/>
      <c r="BA252" s="281"/>
      <c r="BB252" s="239"/>
      <c r="BC252" s="281"/>
      <c r="BD252" s="281"/>
      <c r="BE252" s="281"/>
      <c r="BF252" s="281"/>
      <c r="BG252" s="281"/>
      <c r="BH252" s="281"/>
      <c r="BI252" s="281"/>
      <c r="BJ252" s="281"/>
      <c r="BK252" s="282"/>
      <c r="BL252" s="282"/>
      <c r="BM252" s="282"/>
      <c r="BN252" s="282"/>
      <c r="BO252" s="282"/>
      <c r="BP252" s="285"/>
    </row>
    <row r="253" spans="36:68" ht="15.75"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239"/>
      <c r="AT253" s="239"/>
      <c r="AU253" s="249"/>
      <c r="AV253" s="249"/>
      <c r="AW253" s="239"/>
      <c r="AX253" s="239"/>
      <c r="AY253" s="281"/>
      <c r="AZ253" s="281"/>
      <c r="BA253" s="281"/>
      <c r="BB253" s="239"/>
      <c r="BC253" s="281"/>
      <c r="BD253" s="281"/>
      <c r="BE253" s="281"/>
      <c r="BF253" s="281"/>
      <c r="BG253" s="281"/>
      <c r="BH253" s="281"/>
      <c r="BI253" s="281"/>
      <c r="BJ253" s="281"/>
      <c r="BK253" s="282"/>
      <c r="BL253" s="282"/>
      <c r="BM253" s="282"/>
      <c r="BN253" s="282"/>
      <c r="BO253" s="282"/>
      <c r="BP253" s="285"/>
    </row>
    <row r="254" spans="36:68" ht="15.75">
      <c r="AJ254" s="239"/>
      <c r="AK254" s="239"/>
      <c r="AL254" s="239"/>
      <c r="AM254" s="239"/>
      <c r="AN254" s="239"/>
      <c r="AO254" s="239"/>
      <c r="AP254" s="239"/>
      <c r="AQ254" s="239"/>
      <c r="AR254" s="239"/>
      <c r="AS254" s="239"/>
      <c r="AT254" s="239"/>
      <c r="AU254" s="249"/>
      <c r="AV254" s="249"/>
      <c r="AW254" s="239"/>
      <c r="AX254" s="239"/>
      <c r="AY254" s="281"/>
      <c r="AZ254" s="281"/>
      <c r="BA254" s="281"/>
      <c r="BB254" s="239"/>
      <c r="BC254" s="281"/>
      <c r="BD254" s="281"/>
      <c r="BE254" s="281"/>
      <c r="BF254" s="281"/>
      <c r="BG254" s="281"/>
      <c r="BH254" s="281"/>
      <c r="BI254" s="281"/>
      <c r="BJ254" s="281"/>
      <c r="BK254" s="282"/>
      <c r="BL254" s="282"/>
      <c r="BM254" s="282"/>
      <c r="BN254" s="282"/>
      <c r="BO254" s="282"/>
      <c r="BP254" s="285"/>
    </row>
    <row r="255" spans="36:68" ht="15.75">
      <c r="AJ255" s="239"/>
      <c r="AK255" s="239"/>
      <c r="AL255" s="239"/>
      <c r="AM255" s="239"/>
      <c r="AN255" s="239"/>
      <c r="AO255" s="239"/>
      <c r="AP255" s="239"/>
      <c r="AQ255" s="239"/>
      <c r="AR255" s="239"/>
      <c r="AS255" s="239"/>
      <c r="AT255" s="239"/>
      <c r="AU255" s="249"/>
      <c r="AV255" s="249"/>
      <c r="AW255" s="239"/>
      <c r="AX255" s="239"/>
      <c r="AY255" s="281"/>
      <c r="AZ255" s="281"/>
      <c r="BA255" s="281"/>
      <c r="BB255" s="239"/>
      <c r="BC255" s="281"/>
      <c r="BD255" s="281"/>
      <c r="BE255" s="281"/>
      <c r="BF255" s="281"/>
      <c r="BG255" s="281"/>
      <c r="BH255" s="281"/>
      <c r="BI255" s="281"/>
      <c r="BJ255" s="281"/>
      <c r="BK255" s="282"/>
      <c r="BL255" s="282"/>
      <c r="BM255" s="282"/>
      <c r="BN255" s="282"/>
      <c r="BO255" s="282"/>
      <c r="BP255" s="285"/>
    </row>
    <row r="256" spans="36:68" ht="15.75">
      <c r="AJ256" s="239"/>
      <c r="AK256" s="239"/>
      <c r="AL256" s="239"/>
      <c r="AM256" s="239"/>
      <c r="AN256" s="239"/>
      <c r="AO256" s="239"/>
      <c r="AP256" s="239"/>
      <c r="AQ256" s="239"/>
      <c r="AR256" s="239"/>
      <c r="AS256" s="239"/>
      <c r="AT256" s="239"/>
      <c r="AU256" s="249"/>
      <c r="AV256" s="249"/>
      <c r="AW256" s="239"/>
      <c r="AX256" s="239"/>
      <c r="AY256" s="281"/>
      <c r="AZ256" s="281"/>
      <c r="BA256" s="281"/>
      <c r="BB256" s="239"/>
      <c r="BC256" s="281"/>
      <c r="BD256" s="281"/>
      <c r="BE256" s="281"/>
      <c r="BF256" s="281"/>
      <c r="BG256" s="281"/>
      <c r="BH256" s="281"/>
      <c r="BI256" s="281"/>
      <c r="BJ256" s="281"/>
      <c r="BK256" s="282"/>
      <c r="BL256" s="282"/>
      <c r="BM256" s="282"/>
      <c r="BN256" s="282"/>
      <c r="BO256" s="282"/>
      <c r="BP256" s="285"/>
    </row>
    <row r="257" spans="36:68" ht="15.75">
      <c r="AJ257" s="239"/>
      <c r="AK257" s="239"/>
      <c r="AL257" s="239"/>
      <c r="AM257" s="239"/>
      <c r="AN257" s="239"/>
      <c r="AO257" s="239"/>
      <c r="AP257" s="239"/>
      <c r="AQ257" s="239"/>
      <c r="AR257" s="239"/>
      <c r="AS257" s="239"/>
      <c r="AT257" s="239"/>
      <c r="AU257" s="249"/>
      <c r="AV257" s="249"/>
      <c r="AW257" s="239"/>
      <c r="AX257" s="239"/>
      <c r="AY257" s="281"/>
      <c r="AZ257" s="281"/>
      <c r="BA257" s="281"/>
      <c r="BB257" s="239"/>
      <c r="BC257" s="281"/>
      <c r="BD257" s="281"/>
      <c r="BE257" s="281"/>
      <c r="BF257" s="281"/>
      <c r="BG257" s="281"/>
      <c r="BH257" s="281"/>
      <c r="BI257" s="281"/>
      <c r="BJ257" s="281"/>
      <c r="BK257" s="282"/>
      <c r="BL257" s="282"/>
      <c r="BM257" s="282"/>
      <c r="BN257" s="282"/>
      <c r="BO257" s="282"/>
      <c r="BP257" s="285"/>
    </row>
    <row r="258" spans="36:68" ht="15.75"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239"/>
      <c r="AT258" s="239"/>
      <c r="AU258" s="249"/>
      <c r="AV258" s="249"/>
      <c r="AW258" s="239"/>
      <c r="AX258" s="239"/>
      <c r="AY258" s="281"/>
      <c r="AZ258" s="281"/>
      <c r="BA258" s="281"/>
      <c r="BB258" s="239"/>
      <c r="BC258" s="281"/>
      <c r="BD258" s="281"/>
      <c r="BE258" s="281"/>
      <c r="BF258" s="281"/>
      <c r="BG258" s="281"/>
      <c r="BH258" s="281"/>
      <c r="BI258" s="281"/>
      <c r="BJ258" s="281"/>
      <c r="BK258" s="282"/>
      <c r="BL258" s="282"/>
      <c r="BM258" s="282"/>
      <c r="BN258" s="282"/>
      <c r="BO258" s="282"/>
      <c r="BP258" s="285"/>
    </row>
    <row r="259" spans="36:68" ht="15.75">
      <c r="AJ259" s="239"/>
      <c r="AK259" s="239"/>
      <c r="AL259" s="239"/>
      <c r="AM259" s="239"/>
      <c r="AN259" s="239"/>
      <c r="AO259" s="239"/>
      <c r="AP259" s="239"/>
      <c r="AQ259" s="239"/>
      <c r="AR259" s="239"/>
      <c r="AS259" s="239"/>
      <c r="AT259" s="239"/>
      <c r="AU259" s="249"/>
      <c r="AV259" s="249"/>
      <c r="AW259" s="239"/>
      <c r="AX259" s="239"/>
      <c r="AY259" s="281"/>
      <c r="AZ259" s="281"/>
      <c r="BA259" s="281"/>
      <c r="BB259" s="239"/>
      <c r="BC259" s="281"/>
      <c r="BD259" s="281"/>
      <c r="BE259" s="281"/>
      <c r="BF259" s="281"/>
      <c r="BG259" s="281"/>
      <c r="BH259" s="281"/>
      <c r="BI259" s="281"/>
      <c r="BJ259" s="281"/>
      <c r="BK259" s="282"/>
      <c r="BL259" s="282"/>
      <c r="BM259" s="282"/>
      <c r="BN259" s="282"/>
      <c r="BO259" s="282"/>
      <c r="BP259" s="285"/>
    </row>
    <row r="260" spans="36:68" ht="15.75">
      <c r="AJ260" s="239"/>
      <c r="AK260" s="239"/>
      <c r="AL260" s="239"/>
      <c r="AM260" s="239"/>
      <c r="AN260" s="239"/>
      <c r="AO260" s="239"/>
      <c r="AP260" s="239"/>
      <c r="AQ260" s="239"/>
      <c r="AR260" s="239"/>
      <c r="AS260" s="239"/>
      <c r="AT260" s="239"/>
      <c r="AU260" s="249"/>
      <c r="AV260" s="249"/>
      <c r="AW260" s="239"/>
      <c r="AX260" s="239"/>
      <c r="AY260" s="281"/>
      <c r="AZ260" s="281"/>
      <c r="BA260" s="281"/>
      <c r="BB260" s="239"/>
      <c r="BC260" s="281"/>
      <c r="BD260" s="281"/>
      <c r="BE260" s="281"/>
      <c r="BF260" s="281"/>
      <c r="BG260" s="281"/>
      <c r="BH260" s="281"/>
      <c r="BI260" s="281"/>
      <c r="BJ260" s="281"/>
      <c r="BK260" s="282"/>
      <c r="BL260" s="282"/>
      <c r="BM260" s="282"/>
      <c r="BN260" s="282"/>
      <c r="BO260" s="282"/>
      <c r="BP260" s="285"/>
    </row>
    <row r="261" spans="36:68" ht="15.75">
      <c r="AJ261" s="239"/>
      <c r="AK261" s="239"/>
      <c r="AL261" s="239"/>
      <c r="AM261" s="239"/>
      <c r="AN261" s="239"/>
      <c r="AO261" s="239"/>
      <c r="AP261" s="239"/>
      <c r="AQ261" s="239"/>
      <c r="AR261" s="239"/>
      <c r="AS261" s="239"/>
      <c r="AT261" s="239"/>
      <c r="AU261" s="249"/>
      <c r="AV261" s="249"/>
      <c r="AW261" s="239"/>
      <c r="AX261" s="239"/>
      <c r="AY261" s="281"/>
      <c r="AZ261" s="281"/>
      <c r="BA261" s="281"/>
      <c r="BB261" s="239"/>
      <c r="BC261" s="281"/>
      <c r="BD261" s="281"/>
      <c r="BE261" s="281"/>
      <c r="BF261" s="281"/>
      <c r="BG261" s="281"/>
      <c r="BH261" s="281"/>
      <c r="BI261" s="281"/>
      <c r="BJ261" s="281"/>
      <c r="BK261" s="282"/>
      <c r="BL261" s="282"/>
      <c r="BM261" s="282"/>
      <c r="BN261" s="282"/>
      <c r="BO261" s="282"/>
      <c r="BP261" s="285"/>
    </row>
    <row r="262" spans="36:68" ht="15.75">
      <c r="AJ262" s="239"/>
      <c r="AK262" s="239"/>
      <c r="AL262" s="239"/>
      <c r="AM262" s="239"/>
      <c r="AN262" s="239"/>
      <c r="AO262" s="239"/>
      <c r="AP262" s="239"/>
      <c r="AQ262" s="239"/>
      <c r="AR262" s="239"/>
      <c r="AS262" s="239"/>
      <c r="AT262" s="239"/>
      <c r="AU262" s="249"/>
      <c r="AV262" s="249"/>
      <c r="AW262" s="239"/>
      <c r="AX262" s="239"/>
      <c r="AY262" s="281"/>
      <c r="AZ262" s="281"/>
      <c r="BA262" s="281"/>
      <c r="BB262" s="239"/>
      <c r="BC262" s="281"/>
      <c r="BD262" s="281"/>
      <c r="BE262" s="281"/>
      <c r="BF262" s="281"/>
      <c r="BG262" s="281"/>
      <c r="BH262" s="281"/>
      <c r="BI262" s="281"/>
      <c r="BJ262" s="281"/>
      <c r="BK262" s="282"/>
      <c r="BL262" s="282"/>
      <c r="BM262" s="282"/>
      <c r="BN262" s="282"/>
      <c r="BO262" s="282"/>
      <c r="BP262" s="285"/>
    </row>
    <row r="263" spans="36:68" ht="15.75">
      <c r="AJ263" s="239"/>
      <c r="AK263" s="239"/>
      <c r="AL263" s="239"/>
      <c r="AM263" s="239"/>
      <c r="AN263" s="239"/>
      <c r="AO263" s="239"/>
      <c r="AP263" s="239"/>
      <c r="AQ263" s="239"/>
      <c r="AR263" s="239"/>
      <c r="AS263" s="239"/>
      <c r="AT263" s="239"/>
      <c r="AU263" s="249"/>
      <c r="AV263" s="249"/>
      <c r="AW263" s="239"/>
      <c r="AX263" s="239"/>
      <c r="AY263" s="281"/>
      <c r="AZ263" s="281"/>
      <c r="BA263" s="281"/>
      <c r="BB263" s="239"/>
      <c r="BC263" s="281"/>
      <c r="BD263" s="281"/>
      <c r="BE263" s="281"/>
      <c r="BF263" s="281"/>
      <c r="BG263" s="281"/>
      <c r="BH263" s="281"/>
      <c r="BI263" s="281"/>
      <c r="BJ263" s="281"/>
      <c r="BK263" s="282"/>
      <c r="BL263" s="282"/>
      <c r="BM263" s="282"/>
      <c r="BN263" s="282"/>
      <c r="BO263" s="282"/>
      <c r="BP263" s="285"/>
    </row>
    <row r="264" spans="36:68" ht="15.75">
      <c r="AJ264" s="239"/>
      <c r="AK264" s="239"/>
      <c r="AL264" s="239"/>
      <c r="AM264" s="239"/>
      <c r="AN264" s="239"/>
      <c r="AO264" s="239"/>
      <c r="AP264" s="239"/>
      <c r="AQ264" s="239"/>
      <c r="AR264" s="239"/>
      <c r="AS264" s="239"/>
      <c r="AT264" s="239"/>
      <c r="AU264" s="249"/>
      <c r="AV264" s="249"/>
      <c r="AW264" s="239"/>
      <c r="AX264" s="239"/>
      <c r="AY264" s="281"/>
      <c r="AZ264" s="281"/>
      <c r="BA264" s="281"/>
      <c r="BB264" s="239"/>
      <c r="BC264" s="281"/>
      <c r="BD264" s="281"/>
      <c r="BE264" s="281"/>
      <c r="BF264" s="281"/>
      <c r="BG264" s="281"/>
      <c r="BH264" s="281"/>
      <c r="BI264" s="281"/>
      <c r="BJ264" s="281"/>
      <c r="BK264" s="282"/>
      <c r="BL264" s="282"/>
      <c r="BM264" s="282"/>
      <c r="BN264" s="282"/>
      <c r="BO264" s="282"/>
      <c r="BP264" s="285"/>
    </row>
    <row r="265" spans="36:68" ht="15.75">
      <c r="AJ265" s="239"/>
      <c r="AK265" s="239"/>
      <c r="AL265" s="239"/>
      <c r="AM265" s="239"/>
      <c r="AN265" s="239"/>
      <c r="AO265" s="239"/>
      <c r="AP265" s="239"/>
      <c r="AQ265" s="239"/>
      <c r="AR265" s="239"/>
      <c r="AS265" s="239"/>
      <c r="AT265" s="239"/>
      <c r="AU265" s="249"/>
      <c r="AV265" s="249"/>
      <c r="AW265" s="239"/>
      <c r="AX265" s="239"/>
      <c r="AY265" s="281"/>
      <c r="AZ265" s="281"/>
      <c r="BA265" s="281"/>
      <c r="BB265" s="239"/>
      <c r="BC265" s="281"/>
      <c r="BD265" s="281"/>
      <c r="BE265" s="281"/>
      <c r="BF265" s="281"/>
      <c r="BG265" s="281"/>
      <c r="BH265" s="281"/>
      <c r="BI265" s="281"/>
      <c r="BJ265" s="281"/>
      <c r="BK265" s="282"/>
      <c r="BL265" s="282"/>
      <c r="BM265" s="282"/>
      <c r="BN265" s="282"/>
      <c r="BO265" s="282"/>
      <c r="BP265" s="285"/>
    </row>
    <row r="266" spans="36:68" ht="15.75">
      <c r="AJ266" s="239"/>
      <c r="AK266" s="239"/>
      <c r="AL266" s="239"/>
      <c r="AM266" s="239"/>
      <c r="AN266" s="239"/>
      <c r="AO266" s="239"/>
      <c r="AP266" s="239"/>
      <c r="AQ266" s="239"/>
      <c r="AR266" s="239"/>
      <c r="AS266" s="239"/>
      <c r="AT266" s="239"/>
      <c r="AU266" s="249"/>
      <c r="AV266" s="249"/>
      <c r="AW266" s="239"/>
      <c r="AX266" s="239"/>
      <c r="AY266" s="281"/>
      <c r="AZ266" s="281"/>
      <c r="BA266" s="281"/>
      <c r="BB266" s="239"/>
      <c r="BC266" s="281"/>
      <c r="BD266" s="281"/>
      <c r="BE266" s="281"/>
      <c r="BF266" s="281"/>
      <c r="BG266" s="281"/>
      <c r="BH266" s="281"/>
      <c r="BI266" s="281"/>
      <c r="BJ266" s="281"/>
      <c r="BK266" s="282"/>
      <c r="BL266" s="282"/>
      <c r="BM266" s="282"/>
      <c r="BN266" s="282"/>
      <c r="BO266" s="282"/>
      <c r="BP266" s="285"/>
    </row>
    <row r="267" spans="36:68" ht="15.75">
      <c r="AJ267" s="239"/>
      <c r="AK267" s="239"/>
      <c r="AL267" s="239"/>
      <c r="AM267" s="239"/>
      <c r="AN267" s="239"/>
      <c r="AO267" s="239"/>
      <c r="AP267" s="239"/>
      <c r="AQ267" s="239"/>
      <c r="AR267" s="239"/>
      <c r="AS267" s="239"/>
      <c r="AT267" s="239"/>
      <c r="AU267" s="249"/>
      <c r="AV267" s="249"/>
      <c r="AW267" s="239"/>
      <c r="AX267" s="239"/>
      <c r="AY267" s="281"/>
      <c r="AZ267" s="281"/>
      <c r="BA267" s="281"/>
      <c r="BB267" s="239"/>
      <c r="BC267" s="281"/>
      <c r="BD267" s="281"/>
      <c r="BE267" s="281"/>
      <c r="BF267" s="281"/>
      <c r="BG267" s="281"/>
      <c r="BH267" s="281"/>
      <c r="BI267" s="281"/>
      <c r="BJ267" s="281"/>
      <c r="BK267" s="282"/>
      <c r="BL267" s="282"/>
      <c r="BM267" s="282"/>
      <c r="BN267" s="282"/>
      <c r="BO267" s="282"/>
      <c r="BP267" s="285"/>
    </row>
    <row r="268" spans="36:68" ht="15.75">
      <c r="AJ268" s="239"/>
      <c r="AK268" s="239"/>
      <c r="AL268" s="239"/>
      <c r="AM268" s="239"/>
      <c r="AN268" s="239"/>
      <c r="AO268" s="239"/>
      <c r="AP268" s="239"/>
      <c r="AQ268" s="239"/>
      <c r="AR268" s="239"/>
      <c r="AS268" s="239"/>
      <c r="AT268" s="239"/>
      <c r="AU268" s="249"/>
      <c r="AV268" s="249"/>
      <c r="AW268" s="239"/>
      <c r="AX268" s="239"/>
      <c r="AY268" s="281"/>
      <c r="AZ268" s="281"/>
      <c r="BA268" s="281"/>
      <c r="BB268" s="239"/>
      <c r="BC268" s="281"/>
      <c r="BD268" s="281"/>
      <c r="BE268" s="281"/>
      <c r="BF268" s="281"/>
      <c r="BG268" s="281"/>
      <c r="BH268" s="281"/>
      <c r="BI268" s="281"/>
      <c r="BJ268" s="281"/>
      <c r="BK268" s="282"/>
      <c r="BL268" s="282"/>
      <c r="BM268" s="282"/>
      <c r="BN268" s="282"/>
      <c r="BO268" s="282"/>
      <c r="BP268" s="285"/>
    </row>
    <row r="269" spans="36:68" ht="15.75">
      <c r="AJ269" s="239"/>
      <c r="AK269" s="239"/>
      <c r="AL269" s="239"/>
      <c r="AM269" s="239"/>
      <c r="AN269" s="239"/>
      <c r="AO269" s="239"/>
      <c r="AP269" s="239"/>
      <c r="AQ269" s="239"/>
      <c r="AR269" s="239"/>
      <c r="AS269" s="239"/>
      <c r="AT269" s="239"/>
      <c r="AU269" s="249"/>
      <c r="AV269" s="249"/>
      <c r="AW269" s="239"/>
      <c r="AX269" s="239"/>
      <c r="AY269" s="281"/>
      <c r="AZ269" s="281"/>
      <c r="BA269" s="281"/>
      <c r="BB269" s="239"/>
      <c r="BC269" s="281"/>
      <c r="BD269" s="281"/>
      <c r="BE269" s="281"/>
      <c r="BF269" s="281"/>
      <c r="BG269" s="281"/>
      <c r="BH269" s="281"/>
      <c r="BI269" s="281"/>
      <c r="BJ269" s="281"/>
      <c r="BK269" s="282"/>
      <c r="BL269" s="282"/>
      <c r="BM269" s="282"/>
      <c r="BN269" s="282"/>
      <c r="BO269" s="282"/>
      <c r="BP269" s="285"/>
    </row>
    <row r="270" spans="36:68" ht="15.75">
      <c r="AJ270" s="239"/>
      <c r="AK270" s="239"/>
      <c r="AL270" s="239"/>
      <c r="AM270" s="239"/>
      <c r="AN270" s="239"/>
      <c r="AO270" s="239"/>
      <c r="AP270" s="239"/>
      <c r="AQ270" s="239"/>
      <c r="AR270" s="239"/>
      <c r="AS270" s="239"/>
      <c r="AT270" s="239"/>
      <c r="AU270" s="249"/>
      <c r="AV270" s="249"/>
      <c r="AW270" s="239"/>
      <c r="AX270" s="239"/>
      <c r="AY270" s="281"/>
      <c r="AZ270" s="281"/>
      <c r="BA270" s="281"/>
      <c r="BB270" s="239"/>
      <c r="BC270" s="281"/>
      <c r="BD270" s="281"/>
      <c r="BE270" s="281"/>
      <c r="BF270" s="281"/>
      <c r="BG270" s="281"/>
      <c r="BH270" s="281"/>
      <c r="BI270" s="281"/>
      <c r="BJ270" s="281"/>
      <c r="BK270" s="282"/>
      <c r="BL270" s="282"/>
      <c r="BM270" s="282"/>
      <c r="BN270" s="282"/>
      <c r="BO270" s="282"/>
      <c r="BP270" s="285"/>
    </row>
    <row r="271" spans="36:68" ht="15.75">
      <c r="AJ271" s="239"/>
      <c r="AK271" s="239"/>
      <c r="AL271" s="239"/>
      <c r="AM271" s="239"/>
      <c r="AN271" s="239"/>
      <c r="AO271" s="239"/>
      <c r="AP271" s="239"/>
      <c r="AQ271" s="239"/>
      <c r="AR271" s="239"/>
      <c r="AS271" s="239"/>
      <c r="AT271" s="239"/>
      <c r="AU271" s="249"/>
      <c r="AV271" s="249"/>
      <c r="AW271" s="239"/>
      <c r="AX271" s="239"/>
      <c r="AY271" s="281"/>
      <c r="AZ271" s="281"/>
      <c r="BA271" s="281"/>
      <c r="BB271" s="239"/>
      <c r="BC271" s="281"/>
      <c r="BD271" s="281"/>
      <c r="BE271" s="281"/>
      <c r="BF271" s="281"/>
      <c r="BG271" s="281"/>
      <c r="BH271" s="281"/>
      <c r="BI271" s="281"/>
      <c r="BJ271" s="281"/>
      <c r="BK271" s="282"/>
      <c r="BL271" s="282"/>
      <c r="BM271" s="282"/>
      <c r="BN271" s="282"/>
      <c r="BO271" s="282"/>
      <c r="BP271" s="285"/>
    </row>
    <row r="272" spans="36:68" ht="15.75">
      <c r="AJ272" s="239"/>
      <c r="AK272" s="239"/>
      <c r="AL272" s="239"/>
      <c r="AM272" s="239"/>
      <c r="AN272" s="239"/>
      <c r="AO272" s="239"/>
      <c r="AP272" s="239"/>
      <c r="AQ272" s="239"/>
      <c r="AR272" s="239"/>
      <c r="AS272" s="239"/>
      <c r="AT272" s="239"/>
      <c r="AU272" s="249"/>
      <c r="AV272" s="249"/>
      <c r="AW272" s="239"/>
      <c r="AX272" s="239"/>
      <c r="AY272" s="281"/>
      <c r="AZ272" s="281"/>
      <c r="BA272" s="281"/>
      <c r="BB272" s="239"/>
      <c r="BC272" s="281"/>
      <c r="BD272" s="281"/>
      <c r="BE272" s="281"/>
      <c r="BF272" s="281"/>
      <c r="BG272" s="281"/>
      <c r="BH272" s="281"/>
      <c r="BI272" s="281"/>
      <c r="BJ272" s="281"/>
      <c r="BK272" s="282"/>
      <c r="BL272" s="282"/>
      <c r="BM272" s="282"/>
      <c r="BN272" s="282"/>
      <c r="BO272" s="282"/>
      <c r="BP272" s="285"/>
    </row>
    <row r="273" spans="36:68" ht="15.75">
      <c r="AJ273" s="239"/>
      <c r="AK273" s="239"/>
      <c r="AL273" s="239"/>
      <c r="AM273" s="239"/>
      <c r="AN273" s="239"/>
      <c r="AO273" s="239"/>
      <c r="AP273" s="239"/>
      <c r="AQ273" s="239"/>
      <c r="AR273" s="239"/>
      <c r="AS273" s="239"/>
      <c r="AT273" s="239"/>
      <c r="AU273" s="249"/>
      <c r="AV273" s="249"/>
      <c r="AW273" s="239"/>
      <c r="AX273" s="239"/>
      <c r="AY273" s="281"/>
      <c r="AZ273" s="281"/>
      <c r="BA273" s="281"/>
      <c r="BB273" s="239"/>
      <c r="BC273" s="281"/>
      <c r="BD273" s="281"/>
      <c r="BE273" s="281"/>
      <c r="BF273" s="281"/>
      <c r="BG273" s="281"/>
      <c r="BH273" s="281"/>
      <c r="BI273" s="281"/>
      <c r="BJ273" s="281"/>
      <c r="BK273" s="282"/>
      <c r="BL273" s="282"/>
      <c r="BM273" s="282"/>
      <c r="BN273" s="282"/>
      <c r="BO273" s="282"/>
      <c r="BP273" s="285"/>
    </row>
    <row r="274" spans="36:68" ht="15.75">
      <c r="AJ274" s="239"/>
      <c r="AK274" s="239"/>
      <c r="AL274" s="239"/>
      <c r="AM274" s="239"/>
      <c r="AN274" s="239"/>
      <c r="AO274" s="239"/>
      <c r="AP274" s="239"/>
      <c r="AQ274" s="239"/>
      <c r="AR274" s="239"/>
      <c r="AS274" s="239"/>
      <c r="AT274" s="239"/>
      <c r="AU274" s="249"/>
      <c r="AV274" s="249"/>
      <c r="AW274" s="239"/>
      <c r="AX274" s="239"/>
      <c r="AY274" s="281"/>
      <c r="AZ274" s="281"/>
      <c r="BA274" s="281"/>
      <c r="BB274" s="239"/>
      <c r="BC274" s="281"/>
      <c r="BD274" s="281"/>
      <c r="BE274" s="281"/>
      <c r="BF274" s="281"/>
      <c r="BG274" s="281"/>
      <c r="BH274" s="281"/>
      <c r="BI274" s="281"/>
      <c r="BJ274" s="281"/>
      <c r="BK274" s="282"/>
      <c r="BL274" s="282"/>
      <c r="BM274" s="282"/>
      <c r="BN274" s="282"/>
      <c r="BO274" s="282"/>
      <c r="BP274" s="285"/>
    </row>
    <row r="275" spans="36:68" ht="15.75">
      <c r="AJ275" s="239"/>
      <c r="AK275" s="239"/>
      <c r="AL275" s="239"/>
      <c r="AM275" s="239"/>
      <c r="AN275" s="239"/>
      <c r="AO275" s="239"/>
      <c r="AP275" s="239"/>
      <c r="AQ275" s="239"/>
      <c r="AR275" s="239"/>
      <c r="AS275" s="239"/>
      <c r="AT275" s="239"/>
      <c r="AU275" s="249"/>
      <c r="AV275" s="249"/>
      <c r="AW275" s="239"/>
      <c r="AX275" s="239"/>
      <c r="AY275" s="281"/>
      <c r="AZ275" s="281"/>
      <c r="BA275" s="281"/>
      <c r="BB275" s="239"/>
      <c r="BC275" s="281"/>
      <c r="BD275" s="281"/>
      <c r="BE275" s="281"/>
      <c r="BF275" s="281"/>
      <c r="BG275" s="281"/>
      <c r="BH275" s="281"/>
      <c r="BI275" s="281"/>
      <c r="BJ275" s="281"/>
      <c r="BK275" s="282"/>
      <c r="BL275" s="282"/>
      <c r="BM275" s="282"/>
      <c r="BN275" s="282"/>
      <c r="BO275" s="282"/>
      <c r="BP275" s="285"/>
    </row>
    <row r="276" spans="36:68" ht="15.75">
      <c r="AJ276" s="239"/>
      <c r="AK276" s="239"/>
      <c r="AL276" s="239"/>
      <c r="AM276" s="239"/>
      <c r="AN276" s="239"/>
      <c r="AO276" s="239"/>
      <c r="AP276" s="239"/>
      <c r="AQ276" s="239"/>
      <c r="AR276" s="239"/>
      <c r="AS276" s="239"/>
      <c r="AT276" s="239"/>
      <c r="AU276" s="249"/>
      <c r="AV276" s="249"/>
      <c r="AW276" s="239"/>
      <c r="AX276" s="239"/>
      <c r="AY276" s="281"/>
      <c r="AZ276" s="281"/>
      <c r="BA276" s="281"/>
      <c r="BB276" s="239"/>
      <c r="BC276" s="281"/>
      <c r="BD276" s="281"/>
      <c r="BE276" s="281"/>
      <c r="BF276" s="281"/>
      <c r="BG276" s="281"/>
      <c r="BH276" s="281"/>
      <c r="BI276" s="281"/>
      <c r="BJ276" s="281"/>
      <c r="BK276" s="282"/>
      <c r="BL276" s="282"/>
      <c r="BM276" s="282"/>
      <c r="BN276" s="282"/>
      <c r="BO276" s="282"/>
      <c r="BP276" s="285"/>
    </row>
    <row r="277" spans="36:68" ht="15.75">
      <c r="AJ277" s="239"/>
      <c r="AK277" s="239"/>
      <c r="AL277" s="239"/>
      <c r="AM277" s="239"/>
      <c r="AN277" s="239"/>
      <c r="AO277" s="239"/>
      <c r="AP277" s="239"/>
      <c r="AQ277" s="239"/>
      <c r="AR277" s="239"/>
      <c r="AS277" s="239"/>
      <c r="AT277" s="239"/>
      <c r="AU277" s="249"/>
      <c r="AV277" s="249"/>
      <c r="AW277" s="239"/>
      <c r="AX277" s="239"/>
      <c r="AY277" s="281"/>
      <c r="AZ277" s="281"/>
      <c r="BA277" s="281"/>
      <c r="BB277" s="239"/>
      <c r="BC277" s="281"/>
      <c r="BD277" s="281"/>
      <c r="BE277" s="281"/>
      <c r="BF277" s="281"/>
      <c r="BG277" s="281"/>
      <c r="BH277" s="281"/>
      <c r="BI277" s="281"/>
      <c r="BJ277" s="281"/>
      <c r="BK277" s="282"/>
      <c r="BL277" s="282"/>
      <c r="BM277" s="282"/>
      <c r="BN277" s="282"/>
      <c r="BO277" s="282"/>
      <c r="BP277" s="285"/>
    </row>
    <row r="278" spans="36:68" ht="15.75">
      <c r="AJ278" s="239"/>
      <c r="AK278" s="239"/>
      <c r="AL278" s="239"/>
      <c r="AM278" s="239"/>
      <c r="AN278" s="239"/>
      <c r="AO278" s="239"/>
      <c r="AP278" s="239"/>
      <c r="AQ278" s="239"/>
      <c r="AR278" s="239"/>
      <c r="AS278" s="239"/>
      <c r="AT278" s="239"/>
      <c r="AU278" s="249"/>
      <c r="AV278" s="249"/>
      <c r="AW278" s="239"/>
      <c r="AX278" s="239"/>
      <c r="AY278" s="281"/>
      <c r="AZ278" s="281"/>
      <c r="BA278" s="281"/>
      <c r="BB278" s="239"/>
      <c r="BC278" s="281"/>
      <c r="BD278" s="281"/>
      <c r="BE278" s="281"/>
      <c r="BF278" s="281"/>
      <c r="BG278" s="281"/>
      <c r="BH278" s="281"/>
      <c r="BI278" s="281"/>
      <c r="BJ278" s="281"/>
      <c r="BK278" s="282"/>
      <c r="BL278" s="282"/>
      <c r="BM278" s="282"/>
      <c r="BN278" s="282"/>
      <c r="BO278" s="282"/>
      <c r="BP278" s="285"/>
    </row>
    <row r="279" spans="36:68" ht="15.75">
      <c r="AJ279" s="239"/>
      <c r="AK279" s="239"/>
      <c r="AL279" s="239"/>
      <c r="AM279" s="239"/>
      <c r="AN279" s="239"/>
      <c r="AO279" s="239"/>
      <c r="AP279" s="239"/>
      <c r="AQ279" s="239"/>
      <c r="AR279" s="239"/>
      <c r="AS279" s="239"/>
      <c r="AT279" s="239"/>
      <c r="AU279" s="249"/>
      <c r="AV279" s="249"/>
      <c r="AW279" s="239"/>
      <c r="AX279" s="239"/>
      <c r="AY279" s="281"/>
      <c r="AZ279" s="281"/>
      <c r="BA279" s="281"/>
      <c r="BB279" s="239"/>
      <c r="BC279" s="281"/>
      <c r="BD279" s="281"/>
      <c r="BE279" s="281"/>
      <c r="BF279" s="281"/>
      <c r="BG279" s="281"/>
      <c r="BH279" s="281"/>
      <c r="BI279" s="281"/>
      <c r="BJ279" s="281"/>
      <c r="BK279" s="282"/>
      <c r="BL279" s="282"/>
      <c r="BM279" s="282"/>
      <c r="BN279" s="282"/>
      <c r="BO279" s="282"/>
      <c r="BP279" s="285"/>
    </row>
    <row r="280" spans="36:68" ht="15.75">
      <c r="AJ280" s="239"/>
      <c r="AK280" s="239"/>
      <c r="AL280" s="239"/>
      <c r="AM280" s="239"/>
      <c r="AN280" s="239"/>
      <c r="AO280" s="239"/>
      <c r="AP280" s="239"/>
      <c r="AQ280" s="239"/>
      <c r="AR280" s="239"/>
      <c r="AS280" s="239"/>
      <c r="AT280" s="239"/>
      <c r="AU280" s="249"/>
      <c r="AV280" s="249"/>
      <c r="AW280" s="239"/>
      <c r="AX280" s="239"/>
      <c r="AY280" s="281"/>
      <c r="AZ280" s="281"/>
      <c r="BA280" s="281"/>
      <c r="BB280" s="239"/>
      <c r="BC280" s="281"/>
      <c r="BD280" s="281"/>
      <c r="BE280" s="281"/>
      <c r="BF280" s="281"/>
      <c r="BG280" s="281"/>
      <c r="BH280" s="281"/>
      <c r="BI280" s="281"/>
      <c r="BJ280" s="281"/>
      <c r="BK280" s="282"/>
      <c r="BL280" s="282"/>
      <c r="BM280" s="282"/>
      <c r="BN280" s="282"/>
      <c r="BO280" s="282"/>
      <c r="BP280" s="285"/>
    </row>
    <row r="281" spans="36:68" ht="15.75">
      <c r="AJ281" s="239"/>
      <c r="AK281" s="239"/>
      <c r="AL281" s="239"/>
      <c r="AM281" s="239"/>
      <c r="AN281" s="239"/>
      <c r="AO281" s="239"/>
      <c r="AP281" s="239"/>
      <c r="AQ281" s="239"/>
      <c r="AR281" s="239"/>
      <c r="AS281" s="239"/>
      <c r="AT281" s="239"/>
      <c r="AU281" s="249"/>
      <c r="AV281" s="249"/>
      <c r="AW281" s="239"/>
      <c r="AX281" s="239"/>
      <c r="AY281" s="281"/>
      <c r="AZ281" s="281"/>
      <c r="BA281" s="281"/>
      <c r="BB281" s="239"/>
      <c r="BC281" s="281"/>
      <c r="BD281" s="281"/>
      <c r="BE281" s="281"/>
      <c r="BF281" s="281"/>
      <c r="BG281" s="281"/>
      <c r="BH281" s="281"/>
      <c r="BI281" s="281"/>
      <c r="BJ281" s="281"/>
      <c r="BK281" s="282"/>
      <c r="BL281" s="282"/>
      <c r="BM281" s="282"/>
      <c r="BN281" s="282"/>
      <c r="BO281" s="282"/>
      <c r="BP281" s="285"/>
    </row>
    <row r="282" spans="36:68" ht="15.75">
      <c r="AJ282" s="239"/>
      <c r="AK282" s="239"/>
      <c r="AL282" s="239"/>
      <c r="AM282" s="239"/>
      <c r="AN282" s="239"/>
      <c r="AO282" s="239"/>
      <c r="AP282" s="239"/>
      <c r="AQ282" s="239"/>
      <c r="AR282" s="239"/>
      <c r="AS282" s="239"/>
      <c r="AT282" s="239"/>
      <c r="AU282" s="249"/>
      <c r="AV282" s="249"/>
      <c r="AW282" s="239"/>
      <c r="AX282" s="239"/>
      <c r="AY282" s="281"/>
      <c r="AZ282" s="281"/>
      <c r="BA282" s="281"/>
      <c r="BB282" s="239"/>
      <c r="BC282" s="281"/>
      <c r="BD282" s="281"/>
      <c r="BE282" s="281"/>
      <c r="BF282" s="281"/>
      <c r="BG282" s="281"/>
      <c r="BH282" s="281"/>
      <c r="BI282" s="281"/>
      <c r="BJ282" s="281"/>
      <c r="BK282" s="282"/>
      <c r="BL282" s="282"/>
      <c r="BM282" s="282"/>
      <c r="BN282" s="282"/>
      <c r="BO282" s="282"/>
      <c r="BP282" s="285"/>
    </row>
    <row r="283" spans="36:68" ht="15.75">
      <c r="AJ283" s="239"/>
      <c r="AK283" s="239"/>
      <c r="AL283" s="239"/>
      <c r="AM283" s="239"/>
      <c r="AN283" s="239"/>
      <c r="AO283" s="239"/>
      <c r="AP283" s="239"/>
      <c r="AQ283" s="239"/>
      <c r="AR283" s="239"/>
      <c r="AS283" s="239"/>
      <c r="AT283" s="239"/>
      <c r="AU283" s="249"/>
      <c r="AV283" s="249"/>
      <c r="AW283" s="239"/>
      <c r="AX283" s="239"/>
      <c r="AY283" s="281"/>
      <c r="AZ283" s="281"/>
      <c r="BA283" s="281"/>
      <c r="BB283" s="239"/>
      <c r="BC283" s="281"/>
      <c r="BD283" s="281"/>
      <c r="BE283" s="281"/>
      <c r="BF283" s="281"/>
      <c r="BG283" s="281"/>
      <c r="BH283" s="281"/>
      <c r="BI283" s="281"/>
      <c r="BJ283" s="281"/>
      <c r="BK283" s="282"/>
      <c r="BL283" s="282"/>
      <c r="BM283" s="282"/>
      <c r="BN283" s="282"/>
      <c r="BO283" s="282"/>
      <c r="BP283" s="285"/>
    </row>
    <row r="284" spans="36:68" ht="15.75">
      <c r="AJ284" s="239"/>
      <c r="AK284" s="239"/>
      <c r="AL284" s="239"/>
      <c r="AM284" s="239"/>
      <c r="AN284" s="239"/>
      <c r="AO284" s="239"/>
      <c r="AP284" s="239"/>
      <c r="AQ284" s="239"/>
      <c r="AR284" s="239"/>
      <c r="AS284" s="239"/>
      <c r="AT284" s="239"/>
      <c r="AU284" s="249"/>
      <c r="AV284" s="249"/>
      <c r="AW284" s="239"/>
      <c r="AX284" s="239"/>
      <c r="AY284" s="281"/>
      <c r="AZ284" s="281"/>
      <c r="BA284" s="281"/>
      <c r="BB284" s="239"/>
      <c r="BC284" s="281"/>
      <c r="BD284" s="281"/>
      <c r="BE284" s="281"/>
      <c r="BF284" s="281"/>
      <c r="BG284" s="281"/>
      <c r="BH284" s="281"/>
      <c r="BI284" s="281"/>
      <c r="BJ284" s="281"/>
      <c r="BK284" s="282"/>
      <c r="BL284" s="282"/>
      <c r="BM284" s="282"/>
      <c r="BN284" s="282"/>
      <c r="BO284" s="282"/>
      <c r="BP284" s="285"/>
    </row>
    <row r="285" spans="36:68" ht="15.75">
      <c r="AJ285" s="239"/>
      <c r="AK285" s="239"/>
      <c r="AL285" s="239"/>
      <c r="AM285" s="239"/>
      <c r="AN285" s="239"/>
      <c r="AO285" s="239"/>
      <c r="AP285" s="239"/>
      <c r="AQ285" s="239"/>
      <c r="AR285" s="239"/>
      <c r="AS285" s="239"/>
      <c r="AT285" s="239"/>
      <c r="AU285" s="249"/>
      <c r="AV285" s="249"/>
      <c r="AW285" s="239"/>
      <c r="AX285" s="239"/>
      <c r="AY285" s="281"/>
      <c r="AZ285" s="281"/>
      <c r="BA285" s="281"/>
      <c r="BB285" s="239"/>
      <c r="BC285" s="281"/>
      <c r="BD285" s="281"/>
      <c r="BE285" s="281"/>
      <c r="BF285" s="281"/>
      <c r="BG285" s="281"/>
      <c r="BH285" s="281"/>
      <c r="BI285" s="281"/>
      <c r="BJ285" s="281"/>
      <c r="BK285" s="282"/>
      <c r="BL285" s="282"/>
      <c r="BM285" s="282"/>
      <c r="BN285" s="282"/>
      <c r="BO285" s="282"/>
      <c r="BP285" s="285"/>
    </row>
    <row r="286" spans="36:68" ht="15.75">
      <c r="AJ286" s="239"/>
      <c r="AK286" s="239"/>
      <c r="AL286" s="239"/>
      <c r="AM286" s="239"/>
      <c r="AN286" s="239"/>
      <c r="AO286" s="239"/>
      <c r="AP286" s="239"/>
      <c r="AQ286" s="239"/>
      <c r="AR286" s="239"/>
      <c r="AS286" s="239"/>
      <c r="AT286" s="239"/>
      <c r="AU286" s="249"/>
      <c r="AV286" s="249"/>
      <c r="AW286" s="239"/>
      <c r="AX286" s="239"/>
      <c r="AY286" s="281"/>
      <c r="AZ286" s="281"/>
      <c r="BA286" s="281"/>
      <c r="BB286" s="239"/>
      <c r="BC286" s="281"/>
      <c r="BD286" s="281"/>
      <c r="BE286" s="281"/>
      <c r="BF286" s="281"/>
      <c r="BG286" s="281"/>
      <c r="BH286" s="281"/>
      <c r="BI286" s="281"/>
      <c r="BJ286" s="281"/>
      <c r="BK286" s="282"/>
      <c r="BL286" s="282"/>
      <c r="BM286" s="282"/>
      <c r="BN286" s="282"/>
      <c r="BO286" s="282"/>
      <c r="BP286" s="285"/>
    </row>
    <row r="287" spans="36:68" ht="15.75">
      <c r="AJ287" s="239"/>
      <c r="AK287" s="239"/>
      <c r="AL287" s="239"/>
      <c r="AM287" s="239"/>
      <c r="AN287" s="239"/>
      <c r="AO287" s="239"/>
      <c r="AP287" s="239"/>
      <c r="AQ287" s="239"/>
      <c r="AR287" s="239"/>
      <c r="AS287" s="239"/>
      <c r="AT287" s="239"/>
      <c r="AU287" s="249"/>
      <c r="AV287" s="249"/>
      <c r="AW287" s="239"/>
      <c r="AX287" s="239"/>
      <c r="AY287" s="281"/>
      <c r="AZ287" s="281"/>
      <c r="BA287" s="281"/>
      <c r="BB287" s="239"/>
      <c r="BC287" s="281"/>
      <c r="BD287" s="281"/>
      <c r="BE287" s="281"/>
      <c r="BF287" s="281"/>
      <c r="BG287" s="281"/>
      <c r="BH287" s="281"/>
      <c r="BI287" s="281"/>
      <c r="BJ287" s="281"/>
      <c r="BK287" s="282"/>
      <c r="BL287" s="282"/>
      <c r="BM287" s="282"/>
      <c r="BN287" s="282"/>
      <c r="BO287" s="282"/>
      <c r="BP287" s="285"/>
    </row>
    <row r="288" spans="36:68" ht="15.75">
      <c r="AJ288" s="239"/>
      <c r="AK288" s="239"/>
      <c r="AL288" s="239"/>
      <c r="AM288" s="239"/>
      <c r="AN288" s="239"/>
      <c r="AO288" s="239"/>
      <c r="AP288" s="239"/>
      <c r="AQ288" s="239"/>
      <c r="AR288" s="239"/>
      <c r="AS288" s="239"/>
      <c r="AT288" s="239"/>
      <c r="AU288" s="249"/>
      <c r="AV288" s="249"/>
      <c r="AW288" s="239"/>
      <c r="AX288" s="239"/>
      <c r="AY288" s="281"/>
      <c r="AZ288" s="281"/>
      <c r="BA288" s="281"/>
      <c r="BB288" s="239"/>
      <c r="BC288" s="281"/>
      <c r="BD288" s="281"/>
      <c r="BE288" s="281"/>
      <c r="BF288" s="281"/>
      <c r="BG288" s="281"/>
      <c r="BH288" s="281"/>
      <c r="BI288" s="281"/>
      <c r="BJ288" s="281"/>
      <c r="BK288" s="282"/>
      <c r="BL288" s="282"/>
      <c r="BM288" s="282"/>
      <c r="BN288" s="282"/>
      <c r="BO288" s="282"/>
      <c r="BP288" s="285"/>
    </row>
    <row r="289" spans="36:68" ht="15.75">
      <c r="AJ289" s="239"/>
      <c r="AK289" s="239"/>
      <c r="AL289" s="239"/>
      <c r="AM289" s="239"/>
      <c r="AN289" s="239"/>
      <c r="AO289" s="239"/>
      <c r="AP289" s="239"/>
      <c r="AQ289" s="239"/>
      <c r="AR289" s="239"/>
      <c r="AS289" s="239"/>
      <c r="AT289" s="239"/>
      <c r="AU289" s="249"/>
      <c r="AV289" s="249"/>
      <c r="AW289" s="239"/>
      <c r="AX289" s="239"/>
      <c r="AY289" s="281"/>
      <c r="AZ289" s="281"/>
      <c r="BA289" s="281"/>
      <c r="BB289" s="239"/>
      <c r="BC289" s="281"/>
      <c r="BD289" s="281"/>
      <c r="BE289" s="281"/>
      <c r="BF289" s="281"/>
      <c r="BG289" s="281"/>
      <c r="BH289" s="281"/>
      <c r="BI289" s="281"/>
      <c r="BJ289" s="281"/>
      <c r="BK289" s="282"/>
      <c r="BL289" s="282"/>
      <c r="BM289" s="282"/>
      <c r="BN289" s="282"/>
      <c r="BO289" s="282"/>
      <c r="BP289" s="285"/>
    </row>
    <row r="290" spans="36:68" ht="15.75">
      <c r="AJ290" s="239"/>
      <c r="AK290" s="239"/>
      <c r="AL290" s="239"/>
      <c r="AM290" s="239"/>
      <c r="AN290" s="239"/>
      <c r="AO290" s="239"/>
      <c r="AP290" s="239"/>
      <c r="AQ290" s="239"/>
      <c r="AR290" s="239"/>
      <c r="AS290" s="239"/>
      <c r="AT290" s="239"/>
      <c r="AU290" s="249"/>
      <c r="AV290" s="249"/>
      <c r="AW290" s="239"/>
      <c r="AX290" s="239"/>
      <c r="AY290" s="281"/>
      <c r="AZ290" s="281"/>
      <c r="BA290" s="281"/>
      <c r="BB290" s="239"/>
      <c r="BC290" s="281"/>
      <c r="BD290" s="281"/>
      <c r="BE290" s="281"/>
      <c r="BF290" s="281"/>
      <c r="BG290" s="281"/>
      <c r="BH290" s="281"/>
      <c r="BI290" s="281"/>
      <c r="BJ290" s="281"/>
      <c r="BK290" s="282"/>
      <c r="BL290" s="282"/>
      <c r="BM290" s="282"/>
      <c r="BN290" s="282"/>
      <c r="BO290" s="282"/>
      <c r="BP290" s="285"/>
    </row>
    <row r="291" spans="36:68" ht="15.75">
      <c r="AJ291" s="239"/>
      <c r="AK291" s="239"/>
      <c r="AL291" s="239"/>
      <c r="AM291" s="239"/>
      <c r="AN291" s="239"/>
      <c r="AO291" s="239"/>
      <c r="AP291" s="239"/>
      <c r="AQ291" s="239"/>
      <c r="AR291" s="239"/>
      <c r="AS291" s="239"/>
      <c r="AT291" s="239"/>
      <c r="AU291" s="249"/>
      <c r="AV291" s="249"/>
      <c r="AW291" s="239"/>
      <c r="AX291" s="239"/>
      <c r="AY291" s="281"/>
      <c r="AZ291" s="281"/>
      <c r="BA291" s="281"/>
      <c r="BB291" s="239"/>
      <c r="BC291" s="281"/>
      <c r="BD291" s="281"/>
      <c r="BE291" s="281"/>
      <c r="BF291" s="281"/>
      <c r="BG291" s="281"/>
      <c r="BH291" s="281"/>
      <c r="BI291" s="281"/>
      <c r="BJ291" s="281"/>
      <c r="BK291" s="282"/>
      <c r="BL291" s="282"/>
      <c r="BM291" s="282"/>
      <c r="BN291" s="282"/>
      <c r="BO291" s="282"/>
      <c r="BP291" s="285"/>
    </row>
    <row r="292" spans="36:68" ht="15.75">
      <c r="AJ292" s="239"/>
      <c r="AK292" s="239"/>
      <c r="AL292" s="239"/>
      <c r="AM292" s="239"/>
      <c r="AN292" s="239"/>
      <c r="AO292" s="239"/>
      <c r="AP292" s="239"/>
      <c r="AQ292" s="239"/>
      <c r="AR292" s="239"/>
      <c r="AS292" s="239"/>
      <c r="AT292" s="239"/>
      <c r="AU292" s="249"/>
      <c r="AV292" s="249"/>
      <c r="AW292" s="239"/>
      <c r="AX292" s="239"/>
      <c r="AY292" s="281"/>
      <c r="AZ292" s="281"/>
      <c r="BA292" s="281"/>
      <c r="BB292" s="239"/>
      <c r="BC292" s="281"/>
      <c r="BD292" s="281"/>
      <c r="BE292" s="281"/>
      <c r="BF292" s="281"/>
      <c r="BG292" s="281"/>
      <c r="BH292" s="281"/>
      <c r="BI292" s="281"/>
      <c r="BJ292" s="281"/>
      <c r="BK292" s="282"/>
      <c r="BL292" s="282"/>
      <c r="BM292" s="282"/>
      <c r="BN292" s="282"/>
      <c r="BO292" s="282"/>
      <c r="BP292" s="285"/>
    </row>
    <row r="293" spans="36:68" ht="15.75">
      <c r="AJ293" s="239"/>
      <c r="AK293" s="239"/>
      <c r="AL293" s="239"/>
      <c r="AM293" s="239"/>
      <c r="AN293" s="239"/>
      <c r="AO293" s="239"/>
      <c r="AP293" s="239"/>
      <c r="AQ293" s="239"/>
      <c r="AR293" s="239"/>
      <c r="AS293" s="239"/>
      <c r="AT293" s="239"/>
      <c r="AU293" s="249"/>
      <c r="AV293" s="249"/>
      <c r="AW293" s="239"/>
      <c r="AX293" s="239"/>
      <c r="AY293" s="281"/>
      <c r="AZ293" s="281"/>
      <c r="BA293" s="281"/>
      <c r="BB293" s="239"/>
      <c r="BC293" s="281"/>
      <c r="BD293" s="281"/>
      <c r="BE293" s="281"/>
      <c r="BF293" s="281"/>
      <c r="BG293" s="281"/>
      <c r="BH293" s="281"/>
      <c r="BI293" s="281"/>
      <c r="BJ293" s="281"/>
      <c r="BK293" s="282"/>
      <c r="BL293" s="282"/>
      <c r="BM293" s="282"/>
      <c r="BN293" s="282"/>
      <c r="BO293" s="282"/>
      <c r="BP293" s="285"/>
    </row>
    <row r="294" spans="36:68" ht="15.75">
      <c r="AJ294" s="239"/>
      <c r="AK294" s="239"/>
      <c r="AL294" s="239"/>
      <c r="AM294" s="239"/>
      <c r="AN294" s="239"/>
      <c r="AO294" s="239"/>
      <c r="AP294" s="239"/>
      <c r="AQ294" s="239"/>
      <c r="AR294" s="239"/>
      <c r="AS294" s="239"/>
      <c r="AT294" s="239"/>
      <c r="AU294" s="249"/>
      <c r="AV294" s="249"/>
      <c r="AW294" s="239"/>
      <c r="AX294" s="239"/>
      <c r="AY294" s="281"/>
      <c r="AZ294" s="281"/>
      <c r="BA294" s="281"/>
      <c r="BB294" s="239"/>
      <c r="BC294" s="281"/>
      <c r="BD294" s="281"/>
      <c r="BE294" s="281"/>
      <c r="BF294" s="281"/>
      <c r="BG294" s="281"/>
      <c r="BH294" s="281"/>
      <c r="BI294" s="281"/>
      <c r="BJ294" s="281"/>
      <c r="BK294" s="282"/>
      <c r="BL294" s="282"/>
      <c r="BM294" s="282"/>
      <c r="BN294" s="282"/>
      <c r="BO294" s="282"/>
      <c r="BP294" s="285"/>
    </row>
    <row r="295" spans="36:68" ht="15.75">
      <c r="AJ295" s="239"/>
      <c r="AK295" s="239"/>
      <c r="AL295" s="239"/>
      <c r="AM295" s="239"/>
      <c r="AN295" s="239"/>
      <c r="AO295" s="239"/>
      <c r="AP295" s="239"/>
      <c r="AQ295" s="239"/>
      <c r="AR295" s="239"/>
      <c r="AS295" s="239"/>
      <c r="AT295" s="239"/>
      <c r="AU295" s="249"/>
      <c r="AV295" s="249"/>
      <c r="AW295" s="239"/>
      <c r="AX295" s="239"/>
      <c r="AY295" s="281"/>
      <c r="AZ295" s="281"/>
      <c r="BA295" s="281"/>
      <c r="BB295" s="239"/>
      <c r="BC295" s="281"/>
      <c r="BD295" s="281"/>
      <c r="BE295" s="281"/>
      <c r="BF295" s="281"/>
      <c r="BG295" s="281"/>
      <c r="BH295" s="281"/>
      <c r="BI295" s="281"/>
      <c r="BJ295" s="281"/>
      <c r="BK295" s="282"/>
      <c r="BL295" s="282"/>
      <c r="BM295" s="282"/>
      <c r="BN295" s="282"/>
      <c r="BO295" s="282"/>
      <c r="BP295" s="285"/>
    </row>
    <row r="296" spans="36:68" ht="15.75">
      <c r="AJ296" s="239"/>
      <c r="AK296" s="239"/>
      <c r="AL296" s="239"/>
      <c r="AM296" s="239"/>
      <c r="AN296" s="239"/>
      <c r="AO296" s="239"/>
      <c r="AP296" s="239"/>
      <c r="AQ296" s="239"/>
      <c r="AR296" s="239"/>
      <c r="AS296" s="239"/>
      <c r="AT296" s="239"/>
      <c r="AU296" s="249"/>
      <c r="AV296" s="249"/>
      <c r="AW296" s="239"/>
      <c r="AX296" s="239"/>
      <c r="AY296" s="281"/>
      <c r="AZ296" s="281"/>
      <c r="BA296" s="281"/>
      <c r="BB296" s="239"/>
      <c r="BC296" s="281"/>
      <c r="BD296" s="281"/>
      <c r="BE296" s="281"/>
      <c r="BF296" s="281"/>
      <c r="BG296" s="281"/>
      <c r="BH296" s="281"/>
      <c r="BI296" s="281"/>
      <c r="BJ296" s="281"/>
      <c r="BK296" s="282"/>
      <c r="BL296" s="282"/>
      <c r="BM296" s="282"/>
      <c r="BN296" s="282"/>
      <c r="BO296" s="282"/>
      <c r="BP296" s="285"/>
    </row>
    <row r="297" spans="36:68" ht="15.75">
      <c r="AJ297" s="239"/>
      <c r="AK297" s="239"/>
      <c r="AL297" s="239"/>
      <c r="AM297" s="239"/>
      <c r="AN297" s="239"/>
      <c r="AO297" s="239"/>
      <c r="AP297" s="239"/>
      <c r="AQ297" s="239"/>
      <c r="AR297" s="239"/>
      <c r="AS297" s="239"/>
      <c r="AT297" s="239"/>
      <c r="AU297" s="249"/>
      <c r="AV297" s="249"/>
      <c r="AW297" s="239"/>
      <c r="AX297" s="239"/>
      <c r="AY297" s="281"/>
      <c r="AZ297" s="281"/>
      <c r="BA297" s="281"/>
      <c r="BB297" s="239"/>
      <c r="BC297" s="281"/>
      <c r="BD297" s="281"/>
      <c r="BE297" s="281"/>
      <c r="BF297" s="281"/>
      <c r="BG297" s="281"/>
      <c r="BH297" s="281"/>
      <c r="BI297" s="281"/>
      <c r="BJ297" s="281"/>
      <c r="BK297" s="282"/>
      <c r="BL297" s="282"/>
      <c r="BM297" s="282"/>
      <c r="BN297" s="282"/>
      <c r="BO297" s="282"/>
      <c r="BP297" s="285"/>
    </row>
    <row r="298" spans="36:68" ht="15.75">
      <c r="AJ298" s="239"/>
      <c r="AK298" s="239"/>
      <c r="AL298" s="239"/>
      <c r="AM298" s="239"/>
      <c r="AN298" s="239"/>
      <c r="AO298" s="239"/>
      <c r="AP298" s="239"/>
      <c r="AQ298" s="239"/>
      <c r="AR298" s="239"/>
      <c r="AS298" s="239"/>
      <c r="AT298" s="239"/>
      <c r="AU298" s="249"/>
      <c r="AV298" s="249"/>
      <c r="AW298" s="239"/>
      <c r="AX298" s="239"/>
      <c r="AY298" s="281"/>
      <c r="AZ298" s="281"/>
      <c r="BA298" s="281"/>
      <c r="BB298" s="239"/>
      <c r="BC298" s="281"/>
      <c r="BD298" s="281"/>
      <c r="BE298" s="281"/>
      <c r="BF298" s="281"/>
      <c r="BG298" s="281"/>
      <c r="BH298" s="281"/>
      <c r="BI298" s="281"/>
      <c r="BJ298" s="281"/>
      <c r="BK298" s="282"/>
      <c r="BL298" s="282"/>
      <c r="BM298" s="282"/>
      <c r="BN298" s="282"/>
      <c r="BO298" s="282"/>
      <c r="BP298" s="285"/>
    </row>
    <row r="299" spans="36:68" ht="15.75">
      <c r="AJ299" s="239"/>
      <c r="AK299" s="239"/>
      <c r="AL299" s="239"/>
      <c r="AM299" s="239"/>
      <c r="AN299" s="239"/>
      <c r="AO299" s="239"/>
      <c r="AP299" s="239"/>
      <c r="AQ299" s="239"/>
      <c r="AR299" s="239"/>
      <c r="AS299" s="239"/>
      <c r="AT299" s="239"/>
      <c r="AU299" s="249"/>
      <c r="AV299" s="249"/>
      <c r="AW299" s="239"/>
      <c r="AX299" s="239"/>
      <c r="AY299" s="281"/>
      <c r="AZ299" s="281"/>
      <c r="BA299" s="281"/>
      <c r="BB299" s="239"/>
      <c r="BC299" s="281"/>
      <c r="BD299" s="281"/>
      <c r="BE299" s="281"/>
      <c r="BF299" s="281"/>
      <c r="BG299" s="281"/>
      <c r="BH299" s="281"/>
      <c r="BI299" s="281"/>
      <c r="BJ299" s="281"/>
      <c r="BK299" s="282"/>
      <c r="BL299" s="282"/>
      <c r="BM299" s="282"/>
      <c r="BN299" s="282"/>
      <c r="BO299" s="282"/>
      <c r="BP299" s="285"/>
    </row>
    <row r="300" spans="36:68" ht="15.75">
      <c r="AJ300" s="239"/>
      <c r="AK300" s="239"/>
      <c r="AL300" s="239"/>
      <c r="AM300" s="239"/>
      <c r="AN300" s="239"/>
      <c r="AO300" s="239"/>
      <c r="AP300" s="239"/>
      <c r="AQ300" s="239"/>
      <c r="AR300" s="239"/>
      <c r="AS300" s="239"/>
      <c r="AT300" s="239"/>
      <c r="AU300" s="249"/>
      <c r="AV300" s="249"/>
      <c r="AW300" s="239"/>
      <c r="AX300" s="239"/>
      <c r="AY300" s="281"/>
      <c r="AZ300" s="281"/>
      <c r="BA300" s="281"/>
      <c r="BB300" s="239"/>
      <c r="BC300" s="281"/>
      <c r="BD300" s="281"/>
      <c r="BE300" s="281"/>
      <c r="BF300" s="281"/>
      <c r="BG300" s="281"/>
      <c r="BH300" s="281"/>
      <c r="BI300" s="281"/>
      <c r="BJ300" s="281"/>
      <c r="BK300" s="282"/>
      <c r="BL300" s="282"/>
      <c r="BM300" s="282"/>
      <c r="BN300" s="282"/>
      <c r="BO300" s="282"/>
      <c r="BP300" s="285"/>
    </row>
    <row r="301" spans="36:68" ht="15.75">
      <c r="AJ301" s="239"/>
      <c r="AK301" s="239"/>
      <c r="AL301" s="239"/>
      <c r="AM301" s="239"/>
      <c r="AN301" s="239"/>
      <c r="AO301" s="239"/>
      <c r="AP301" s="239"/>
      <c r="AQ301" s="239"/>
      <c r="AR301" s="239"/>
      <c r="AS301" s="239"/>
      <c r="AT301" s="239"/>
      <c r="AU301" s="249"/>
      <c r="AV301" s="249"/>
      <c r="AW301" s="239"/>
      <c r="AX301" s="239"/>
      <c r="AY301" s="281"/>
      <c r="AZ301" s="281"/>
      <c r="BA301" s="281"/>
      <c r="BB301" s="239"/>
      <c r="BC301" s="281"/>
      <c r="BD301" s="281"/>
      <c r="BE301" s="281"/>
      <c r="BF301" s="281"/>
      <c r="BG301" s="281"/>
      <c r="BH301" s="281"/>
      <c r="BI301" s="281"/>
      <c r="BJ301" s="281"/>
      <c r="BK301" s="282"/>
      <c r="BL301" s="282"/>
      <c r="BM301" s="282"/>
      <c r="BN301" s="282"/>
      <c r="BO301" s="282"/>
      <c r="BP301" s="285"/>
    </row>
    <row r="302" spans="36:68" ht="15.75">
      <c r="AJ302" s="239"/>
      <c r="AK302" s="239"/>
      <c r="AL302" s="239"/>
      <c r="AM302" s="239"/>
      <c r="AN302" s="239"/>
      <c r="AO302" s="239"/>
      <c r="AP302" s="239"/>
      <c r="AQ302" s="239"/>
      <c r="AR302" s="239"/>
      <c r="AS302" s="239"/>
      <c r="AT302" s="239"/>
      <c r="AU302" s="249"/>
      <c r="AV302" s="249"/>
      <c r="AW302" s="239"/>
      <c r="AX302" s="239"/>
      <c r="AY302" s="281"/>
      <c r="AZ302" s="281"/>
      <c r="BA302" s="281"/>
      <c r="BB302" s="239"/>
      <c r="BC302" s="281"/>
      <c r="BD302" s="281"/>
      <c r="BE302" s="281"/>
      <c r="BF302" s="281"/>
      <c r="BG302" s="281"/>
      <c r="BH302" s="281"/>
      <c r="BI302" s="281"/>
      <c r="BJ302" s="281"/>
      <c r="BK302" s="282"/>
      <c r="BL302" s="282"/>
      <c r="BM302" s="282"/>
      <c r="BN302" s="282"/>
      <c r="BO302" s="282"/>
      <c r="BP302" s="285"/>
    </row>
    <row r="303" spans="36:68" ht="15.75">
      <c r="AJ303" s="239"/>
      <c r="AK303" s="239"/>
      <c r="AL303" s="239"/>
      <c r="AM303" s="239"/>
      <c r="AN303" s="239"/>
      <c r="AO303" s="239"/>
      <c r="AP303" s="239"/>
      <c r="AQ303" s="239"/>
      <c r="AR303" s="239"/>
      <c r="AS303" s="239"/>
      <c r="AT303" s="239"/>
      <c r="AU303" s="249"/>
      <c r="AV303" s="249"/>
      <c r="AW303" s="239"/>
      <c r="AX303" s="239"/>
      <c r="AY303" s="281"/>
      <c r="AZ303" s="281"/>
      <c r="BA303" s="281"/>
      <c r="BB303" s="239"/>
      <c r="BC303" s="281"/>
      <c r="BD303" s="281"/>
      <c r="BE303" s="281"/>
      <c r="BF303" s="281"/>
      <c r="BG303" s="281"/>
      <c r="BH303" s="281"/>
      <c r="BI303" s="281"/>
      <c r="BJ303" s="281"/>
      <c r="BK303" s="282"/>
      <c r="BL303" s="282"/>
      <c r="BM303" s="282"/>
      <c r="BN303" s="282"/>
      <c r="BO303" s="282"/>
      <c r="BP303" s="285"/>
    </row>
    <row r="304" spans="36:68" ht="15.75">
      <c r="AJ304" s="239"/>
      <c r="AK304" s="239"/>
      <c r="AL304" s="239"/>
      <c r="AM304" s="239"/>
      <c r="AN304" s="239"/>
      <c r="AO304" s="239"/>
      <c r="AP304" s="239"/>
      <c r="AQ304" s="239"/>
      <c r="AR304" s="239"/>
      <c r="AS304" s="239"/>
      <c r="AT304" s="239"/>
      <c r="AU304" s="249"/>
      <c r="AV304" s="249"/>
      <c r="AW304" s="239"/>
      <c r="AX304" s="239"/>
      <c r="AY304" s="281"/>
      <c r="AZ304" s="281"/>
      <c r="BA304" s="281"/>
      <c r="BB304" s="239"/>
      <c r="BC304" s="281"/>
      <c r="BD304" s="281"/>
      <c r="BE304" s="281"/>
      <c r="BF304" s="281"/>
      <c r="BG304" s="281"/>
      <c r="BH304" s="281"/>
      <c r="BI304" s="281"/>
      <c r="BJ304" s="281"/>
      <c r="BK304" s="282"/>
      <c r="BL304" s="282"/>
      <c r="BM304" s="282"/>
      <c r="BN304" s="282"/>
      <c r="BO304" s="282"/>
      <c r="BP304" s="285"/>
    </row>
    <row r="305" spans="36:68" ht="15.75">
      <c r="AJ305" s="239"/>
      <c r="AK305" s="239"/>
      <c r="AL305" s="239"/>
      <c r="AM305" s="239"/>
      <c r="AN305" s="239"/>
      <c r="AO305" s="239"/>
      <c r="AP305" s="239"/>
      <c r="AQ305" s="239"/>
      <c r="AR305" s="239"/>
      <c r="AS305" s="239"/>
      <c r="AT305" s="239"/>
      <c r="AU305" s="249"/>
      <c r="AV305" s="249"/>
      <c r="AW305" s="239"/>
      <c r="AX305" s="239"/>
      <c r="AY305" s="281"/>
      <c r="AZ305" s="281"/>
      <c r="BA305" s="281"/>
      <c r="BB305" s="239"/>
      <c r="BC305" s="281"/>
      <c r="BD305" s="281"/>
      <c r="BE305" s="281"/>
      <c r="BF305" s="281"/>
      <c r="BG305" s="281"/>
      <c r="BH305" s="281"/>
      <c r="BI305" s="281"/>
      <c r="BJ305" s="281"/>
      <c r="BK305" s="282"/>
      <c r="BL305" s="282"/>
      <c r="BM305" s="282"/>
      <c r="BN305" s="282"/>
      <c r="BO305" s="282"/>
      <c r="BP305" s="285"/>
    </row>
    <row r="306" spans="36:68" ht="15.75">
      <c r="AJ306" s="239"/>
      <c r="AK306" s="239"/>
      <c r="AL306" s="239"/>
      <c r="AM306" s="239"/>
      <c r="AN306" s="239"/>
      <c r="AO306" s="239"/>
      <c r="AP306" s="239"/>
      <c r="AQ306" s="239"/>
      <c r="AR306" s="239"/>
      <c r="AS306" s="239"/>
      <c r="AT306" s="239"/>
      <c r="AU306" s="249"/>
      <c r="AV306" s="249"/>
      <c r="AW306" s="239"/>
      <c r="AX306" s="239"/>
      <c r="AY306" s="281"/>
      <c r="AZ306" s="281"/>
      <c r="BA306" s="281"/>
      <c r="BB306" s="239"/>
      <c r="BC306" s="281"/>
      <c r="BD306" s="281"/>
      <c r="BE306" s="281"/>
      <c r="BF306" s="281"/>
      <c r="BG306" s="281"/>
      <c r="BH306" s="281"/>
      <c r="BI306" s="281"/>
      <c r="BJ306" s="281"/>
      <c r="BK306" s="282"/>
      <c r="BL306" s="282"/>
      <c r="BM306" s="282"/>
      <c r="BN306" s="282"/>
      <c r="BO306" s="282"/>
      <c r="BP306" s="285"/>
    </row>
    <row r="307" spans="36:68" ht="15.75">
      <c r="AJ307" s="239"/>
      <c r="AK307" s="239"/>
      <c r="AL307" s="239"/>
      <c r="AM307" s="239"/>
      <c r="AN307" s="239"/>
      <c r="AO307" s="239"/>
      <c r="AP307" s="239"/>
      <c r="AQ307" s="239"/>
      <c r="AR307" s="239"/>
      <c r="AS307" s="239"/>
      <c r="AT307" s="239"/>
      <c r="AU307" s="249"/>
      <c r="AV307" s="249"/>
      <c r="AW307" s="239"/>
      <c r="AX307" s="239"/>
      <c r="AY307" s="281"/>
      <c r="AZ307" s="281"/>
      <c r="BA307" s="281"/>
      <c r="BB307" s="239"/>
      <c r="BC307" s="281"/>
      <c r="BD307" s="281"/>
      <c r="BE307" s="281"/>
      <c r="BF307" s="281"/>
      <c r="BG307" s="281"/>
      <c r="BH307" s="281"/>
      <c r="BI307" s="281"/>
      <c r="BJ307" s="281"/>
      <c r="BK307" s="282"/>
      <c r="BL307" s="282"/>
      <c r="BM307" s="282"/>
      <c r="BN307" s="282"/>
      <c r="BO307" s="282"/>
      <c r="BP307" s="285"/>
    </row>
    <row r="308" spans="36:68" ht="15.75">
      <c r="AJ308" s="239"/>
      <c r="AK308" s="239"/>
      <c r="AL308" s="239"/>
      <c r="AM308" s="239"/>
      <c r="AN308" s="239"/>
      <c r="AO308" s="239"/>
      <c r="AP308" s="239"/>
      <c r="AQ308" s="239"/>
      <c r="AR308" s="239"/>
      <c r="AS308" s="239"/>
      <c r="AT308" s="239"/>
      <c r="AU308" s="249"/>
      <c r="AV308" s="249"/>
      <c r="AW308" s="239"/>
      <c r="AX308" s="239"/>
      <c r="AY308" s="281"/>
      <c r="AZ308" s="281"/>
      <c r="BA308" s="281"/>
      <c r="BB308" s="239"/>
      <c r="BC308" s="281"/>
      <c r="BD308" s="281"/>
      <c r="BE308" s="281"/>
      <c r="BF308" s="281"/>
      <c r="BG308" s="281"/>
      <c r="BH308" s="281"/>
      <c r="BI308" s="281"/>
      <c r="BJ308" s="281"/>
      <c r="BK308" s="282"/>
      <c r="BL308" s="282"/>
      <c r="BM308" s="282"/>
      <c r="BN308" s="282"/>
      <c r="BO308" s="282"/>
      <c r="BP308" s="285"/>
    </row>
    <row r="309" spans="36:68" ht="15.75">
      <c r="AJ309" s="239"/>
      <c r="AK309" s="239"/>
      <c r="AL309" s="239"/>
      <c r="AM309" s="239"/>
      <c r="AN309" s="239"/>
      <c r="AO309" s="239"/>
      <c r="AP309" s="239"/>
      <c r="AQ309" s="239"/>
      <c r="AR309" s="239"/>
      <c r="AS309" s="239"/>
      <c r="AT309" s="239"/>
      <c r="AU309" s="249"/>
      <c r="AV309" s="249"/>
      <c r="AW309" s="239"/>
      <c r="AX309" s="239"/>
      <c r="AY309" s="281"/>
      <c r="AZ309" s="281"/>
      <c r="BA309" s="281"/>
      <c r="BB309" s="239"/>
      <c r="BC309" s="281"/>
      <c r="BD309" s="281"/>
      <c r="BE309" s="281"/>
      <c r="BF309" s="281"/>
      <c r="BG309" s="281"/>
      <c r="BH309" s="281"/>
      <c r="BI309" s="281"/>
      <c r="BJ309" s="281"/>
      <c r="BK309" s="282"/>
      <c r="BL309" s="282"/>
      <c r="BM309" s="282"/>
      <c r="BN309" s="282"/>
      <c r="BO309" s="282"/>
      <c r="BP309" s="285"/>
    </row>
    <row r="310" spans="36:68" ht="15.75">
      <c r="AJ310" s="239"/>
      <c r="AK310" s="239"/>
      <c r="AL310" s="239"/>
      <c r="AM310" s="239"/>
      <c r="AN310" s="239"/>
      <c r="AO310" s="239"/>
      <c r="AP310" s="239"/>
      <c r="AQ310" s="239"/>
      <c r="AR310" s="239"/>
      <c r="AS310" s="239"/>
      <c r="AT310" s="239"/>
      <c r="AU310" s="249"/>
      <c r="AV310" s="249"/>
      <c r="AW310" s="239"/>
      <c r="AX310" s="239"/>
      <c r="AY310" s="281"/>
      <c r="AZ310" s="281"/>
      <c r="BA310" s="281"/>
      <c r="BB310" s="239"/>
      <c r="BC310" s="281"/>
      <c r="BD310" s="281"/>
      <c r="BE310" s="281"/>
      <c r="BF310" s="281"/>
      <c r="BG310" s="281"/>
      <c r="BH310" s="281"/>
      <c r="BI310" s="281"/>
      <c r="BJ310" s="281"/>
      <c r="BK310" s="282"/>
      <c r="BL310" s="282"/>
      <c r="BM310" s="282"/>
      <c r="BN310" s="282"/>
      <c r="BO310" s="282"/>
      <c r="BP310" s="285"/>
    </row>
    <row r="311" spans="36:68" ht="15.75">
      <c r="AJ311" s="239"/>
      <c r="AK311" s="239"/>
      <c r="AL311" s="239"/>
      <c r="AM311" s="239"/>
      <c r="AN311" s="239"/>
      <c r="AO311" s="239"/>
      <c r="AP311" s="239"/>
      <c r="AQ311" s="239"/>
      <c r="AR311" s="239"/>
      <c r="AS311" s="239"/>
      <c r="AT311" s="239"/>
      <c r="AU311" s="249"/>
      <c r="AV311" s="249"/>
      <c r="AW311" s="239"/>
      <c r="AX311" s="239"/>
      <c r="AY311" s="281"/>
      <c r="AZ311" s="281"/>
      <c r="BA311" s="281"/>
      <c r="BB311" s="239"/>
      <c r="BC311" s="281"/>
      <c r="BD311" s="281"/>
      <c r="BE311" s="281"/>
      <c r="BF311" s="281"/>
      <c r="BG311" s="281"/>
      <c r="BH311" s="281"/>
      <c r="BI311" s="281"/>
      <c r="BJ311" s="281"/>
      <c r="BK311" s="282"/>
      <c r="BL311" s="282"/>
      <c r="BM311" s="282"/>
      <c r="BN311" s="282"/>
      <c r="BO311" s="282"/>
      <c r="BP311" s="285"/>
    </row>
    <row r="312" spans="36:68" ht="15.75">
      <c r="AJ312" s="239"/>
      <c r="AK312" s="239"/>
      <c r="AL312" s="239"/>
      <c r="AM312" s="239"/>
      <c r="AN312" s="239"/>
      <c r="AO312" s="239"/>
      <c r="AP312" s="239"/>
      <c r="AQ312" s="239"/>
      <c r="AR312" s="239"/>
      <c r="AS312" s="239"/>
      <c r="AT312" s="239"/>
      <c r="AU312" s="249"/>
      <c r="AV312" s="249"/>
      <c r="AW312" s="239"/>
      <c r="AX312" s="239"/>
      <c r="AY312" s="281"/>
      <c r="AZ312" s="281"/>
      <c r="BA312" s="281"/>
      <c r="BB312" s="239"/>
      <c r="BC312" s="281"/>
      <c r="BD312" s="281"/>
      <c r="BE312" s="281"/>
      <c r="BF312" s="281"/>
      <c r="BG312" s="281"/>
      <c r="BH312" s="281"/>
      <c r="BI312" s="281"/>
      <c r="BJ312" s="281"/>
      <c r="BK312" s="282"/>
      <c r="BL312" s="282"/>
      <c r="BM312" s="282"/>
      <c r="BN312" s="282"/>
      <c r="BO312" s="282"/>
      <c r="BP312" s="285"/>
    </row>
    <row r="313" spans="36:68" ht="15.75">
      <c r="AJ313" s="239"/>
      <c r="AK313" s="239"/>
      <c r="AL313" s="239"/>
      <c r="AM313" s="239"/>
      <c r="AN313" s="239"/>
      <c r="AO313" s="239"/>
      <c r="AP313" s="239"/>
      <c r="AQ313" s="239"/>
      <c r="AR313" s="239"/>
      <c r="AS313" s="239"/>
      <c r="AT313" s="239"/>
      <c r="AU313" s="249"/>
      <c r="AV313" s="249"/>
      <c r="AW313" s="239"/>
      <c r="AX313" s="239"/>
      <c r="AY313" s="281"/>
      <c r="AZ313" s="281"/>
      <c r="BA313" s="281"/>
      <c r="BB313" s="239"/>
      <c r="BC313" s="281"/>
      <c r="BD313" s="281"/>
      <c r="BE313" s="281"/>
      <c r="BF313" s="281"/>
      <c r="BG313" s="281"/>
      <c r="BH313" s="281"/>
      <c r="BI313" s="281"/>
      <c r="BJ313" s="281"/>
      <c r="BK313" s="282"/>
      <c r="BL313" s="282"/>
      <c r="BM313" s="282"/>
      <c r="BN313" s="282"/>
      <c r="BO313" s="282"/>
      <c r="BP313" s="285"/>
    </row>
    <row r="314" spans="36:68" ht="15.75">
      <c r="AJ314" s="239"/>
      <c r="AK314" s="239"/>
      <c r="AL314" s="239"/>
      <c r="AM314" s="239"/>
      <c r="AN314" s="239"/>
      <c r="AO314" s="239"/>
      <c r="AP314" s="239"/>
      <c r="AQ314" s="239"/>
      <c r="AR314" s="239"/>
      <c r="AS314" s="239"/>
      <c r="AT314" s="239"/>
      <c r="AU314" s="249"/>
      <c r="AV314" s="249"/>
      <c r="AW314" s="239"/>
      <c r="AX314" s="239"/>
      <c r="AY314" s="281"/>
      <c r="AZ314" s="281"/>
      <c r="BA314" s="281"/>
      <c r="BB314" s="239"/>
      <c r="BC314" s="281"/>
      <c r="BD314" s="281"/>
      <c r="BE314" s="281"/>
      <c r="BF314" s="281"/>
      <c r="BG314" s="281"/>
      <c r="BH314" s="281"/>
      <c r="BI314" s="281"/>
      <c r="BJ314" s="281"/>
      <c r="BK314" s="282"/>
      <c r="BL314" s="282"/>
      <c r="BM314" s="282"/>
      <c r="BN314" s="282"/>
      <c r="BO314" s="282"/>
      <c r="BP314" s="285"/>
    </row>
    <row r="315" spans="36:68" ht="15.75">
      <c r="AJ315" s="239"/>
      <c r="AK315" s="239"/>
      <c r="AL315" s="239"/>
      <c r="AM315" s="239"/>
      <c r="AN315" s="239"/>
      <c r="AO315" s="239"/>
      <c r="AP315" s="239"/>
      <c r="AQ315" s="239"/>
      <c r="AR315" s="239"/>
      <c r="AS315" s="239"/>
      <c r="AT315" s="239"/>
      <c r="AU315" s="249"/>
      <c r="AV315" s="249"/>
      <c r="AW315" s="239"/>
      <c r="AX315" s="239"/>
      <c r="AY315" s="281"/>
      <c r="AZ315" s="281"/>
      <c r="BA315" s="281"/>
      <c r="BB315" s="239"/>
      <c r="BC315" s="281"/>
      <c r="BD315" s="281"/>
      <c r="BE315" s="281"/>
      <c r="BF315" s="281"/>
      <c r="BG315" s="281"/>
      <c r="BH315" s="281"/>
      <c r="BI315" s="281"/>
      <c r="BJ315" s="281"/>
      <c r="BK315" s="282"/>
      <c r="BL315" s="282"/>
      <c r="BM315" s="282"/>
      <c r="BN315" s="282"/>
      <c r="BO315" s="282"/>
      <c r="BP315" s="285"/>
    </row>
    <row r="316" spans="51:68" ht="15.75">
      <c r="AY316" s="281"/>
      <c r="AZ316" s="281"/>
      <c r="BA316" s="281"/>
      <c r="BB316" s="239"/>
      <c r="BC316" s="281"/>
      <c r="BD316" s="281"/>
      <c r="BE316" s="281"/>
      <c r="BF316" s="281"/>
      <c r="BG316" s="281"/>
      <c r="BH316" s="281"/>
      <c r="BI316" s="281"/>
      <c r="BJ316" s="281"/>
      <c r="BK316" s="282"/>
      <c r="BL316" s="282"/>
      <c r="BM316" s="282"/>
      <c r="BN316" s="282"/>
      <c r="BO316" s="282"/>
      <c r="BP316" s="285"/>
    </row>
    <row r="317" spans="51:68" ht="15.75">
      <c r="AY317" s="281"/>
      <c r="AZ317" s="281"/>
      <c r="BA317" s="281"/>
      <c r="BB317" s="239"/>
      <c r="BC317" s="281"/>
      <c r="BD317" s="281"/>
      <c r="BE317" s="281"/>
      <c r="BF317" s="281"/>
      <c r="BG317" s="281"/>
      <c r="BH317" s="281"/>
      <c r="BI317" s="281"/>
      <c r="BJ317" s="281"/>
      <c r="BK317" s="282"/>
      <c r="BL317" s="282"/>
      <c r="BM317" s="282"/>
      <c r="BN317" s="282"/>
      <c r="BO317" s="282"/>
      <c r="BP317" s="285"/>
    </row>
    <row r="318" spans="51:68" ht="15.75">
      <c r="AY318" s="281"/>
      <c r="AZ318" s="281"/>
      <c r="BA318" s="281"/>
      <c r="BB318" s="239"/>
      <c r="BC318" s="281"/>
      <c r="BD318" s="281"/>
      <c r="BE318" s="281"/>
      <c r="BF318" s="281"/>
      <c r="BG318" s="281"/>
      <c r="BH318" s="281"/>
      <c r="BI318" s="281"/>
      <c r="BJ318" s="281"/>
      <c r="BK318" s="282"/>
      <c r="BL318" s="282"/>
      <c r="BM318" s="282"/>
      <c r="BN318" s="282"/>
      <c r="BO318" s="282"/>
      <c r="BP318" s="285"/>
    </row>
    <row r="319" spans="51:68" ht="15.75">
      <c r="AY319" s="281"/>
      <c r="AZ319" s="281"/>
      <c r="BA319" s="281"/>
      <c r="BB319" s="239"/>
      <c r="BC319" s="281"/>
      <c r="BD319" s="281"/>
      <c r="BE319" s="281"/>
      <c r="BF319" s="281"/>
      <c r="BG319" s="281"/>
      <c r="BH319" s="281"/>
      <c r="BI319" s="281"/>
      <c r="BJ319" s="281"/>
      <c r="BK319" s="282"/>
      <c r="BL319" s="282"/>
      <c r="BM319" s="282"/>
      <c r="BN319" s="282"/>
      <c r="BO319" s="282"/>
      <c r="BP319" s="285"/>
    </row>
    <row r="320" spans="51:68" ht="15.75">
      <c r="AY320" s="281"/>
      <c r="AZ320" s="281"/>
      <c r="BA320" s="281"/>
      <c r="BB320" s="239"/>
      <c r="BC320" s="281"/>
      <c r="BD320" s="281"/>
      <c r="BE320" s="281"/>
      <c r="BF320" s="281"/>
      <c r="BG320" s="281"/>
      <c r="BH320" s="281"/>
      <c r="BI320" s="281"/>
      <c r="BJ320" s="281"/>
      <c r="BK320" s="282"/>
      <c r="BL320" s="282"/>
      <c r="BM320" s="282"/>
      <c r="BN320" s="282"/>
      <c r="BO320" s="282"/>
      <c r="BP320" s="285"/>
    </row>
    <row r="321" spans="54:68" ht="15.75">
      <c r="BB321" s="239"/>
      <c r="BC321" s="281"/>
      <c r="BD321" s="281"/>
      <c r="BE321" s="281"/>
      <c r="BF321" s="281"/>
      <c r="BG321" s="281"/>
      <c r="BH321" s="281"/>
      <c r="BI321" s="281"/>
      <c r="BJ321" s="281"/>
      <c r="BK321" s="282"/>
      <c r="BL321" s="282"/>
      <c r="BM321" s="282"/>
      <c r="BN321" s="282"/>
      <c r="BO321" s="282"/>
      <c r="BP321" s="285"/>
    </row>
    <row r="322" ht="15.75">
      <c r="BP322" s="285"/>
    </row>
    <row r="323" ht="15.75">
      <c r="BP323" s="285"/>
    </row>
    <row r="324" ht="15.75">
      <c r="BP324" s="285"/>
    </row>
    <row r="325" ht="15.75">
      <c r="BP325" s="285"/>
    </row>
    <row r="326" ht="15.75">
      <c r="BP326" s="285"/>
    </row>
    <row r="327" ht="15.75">
      <c r="BP327" s="285"/>
    </row>
    <row r="328" ht="15.75">
      <c r="BP328" s="285"/>
    </row>
    <row r="329" ht="15.75">
      <c r="BP329" s="285"/>
    </row>
    <row r="330" ht="15.75">
      <c r="BP330" s="285"/>
    </row>
    <row r="331" ht="15.75">
      <c r="BP331" s="285"/>
    </row>
    <row r="332" ht="15.75">
      <c r="BP332" s="285"/>
    </row>
    <row r="333" ht="15.75">
      <c r="BP333" s="285"/>
    </row>
    <row r="334" ht="15.75">
      <c r="BP334" s="285"/>
    </row>
    <row r="335" ht="15.75">
      <c r="BP335" s="285"/>
    </row>
    <row r="336" ht="15.75">
      <c r="BP336" s="285"/>
    </row>
    <row r="337" ht="15.75">
      <c r="BP337" s="285"/>
    </row>
    <row r="338" ht="15.75">
      <c r="BP338" s="285"/>
    </row>
    <row r="339" ht="15.75">
      <c r="BP339" s="285"/>
    </row>
    <row r="340" ht="15.75">
      <c r="BP340" s="285"/>
    </row>
    <row r="341" ht="15.75">
      <c r="BP341" s="285"/>
    </row>
    <row r="342" ht="15.75">
      <c r="BP342" s="285"/>
    </row>
    <row r="343" ht="15.75">
      <c r="BP343" s="285"/>
    </row>
    <row r="344" ht="15.75">
      <c r="BP344" s="285"/>
    </row>
    <row r="345" ht="15.75">
      <c r="BP345" s="285"/>
    </row>
    <row r="346" ht="15.75">
      <c r="BP346" s="285"/>
    </row>
    <row r="347" ht="15.75">
      <c r="BP347" s="285"/>
    </row>
    <row r="348" ht="15.75">
      <c r="BP348" s="285"/>
    </row>
    <row r="349" ht="15.75">
      <c r="BP349" s="285"/>
    </row>
    <row r="350" ht="15.75">
      <c r="BP350" s="285"/>
    </row>
    <row r="351" ht="15.75">
      <c r="BP351" s="285"/>
    </row>
    <row r="352" ht="15.75">
      <c r="BP352" s="285"/>
    </row>
    <row r="353" ht="15.75">
      <c r="BP353" s="285"/>
    </row>
    <row r="354" ht="15.75">
      <c r="BP354" s="285"/>
    </row>
    <row r="355" ht="15.75">
      <c r="BP355" s="285"/>
    </row>
  </sheetData>
  <sheetProtection/>
  <mergeCells count="5">
    <mergeCell ref="A2:BP2"/>
    <mergeCell ref="V3:AI3"/>
    <mergeCell ref="A37:BO37"/>
    <mergeCell ref="A53:BO53"/>
    <mergeCell ref="A59:BO59"/>
  </mergeCells>
  <printOptions horizontalCentered="1" verticalCentered="1"/>
  <pageMargins left="0.39" right="0.2" top="0.2" bottom="0.2" header="0" footer="0"/>
  <pageSetup firstPageNumber="11" useFirstPageNumber="1" horizontalDpi="600" verticalDpi="600" orientation="portrait" paperSize="8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5"/>
  <sheetViews>
    <sheetView showGridLines="0" workbookViewId="0" topLeftCell="A1">
      <pane xSplit="1" ySplit="5" topLeftCell="B111" activePane="bottomRight" state="frozen"/>
      <selection pane="bottomRight" activeCell="F19" sqref="F19"/>
    </sheetView>
  </sheetViews>
  <sheetFormatPr defaultColWidth="9.00390625" defaultRowHeight="14.25"/>
  <cols>
    <col min="1" max="1" width="33.625" style="47" customWidth="1"/>
    <col min="2" max="2" width="9.875" style="47" customWidth="1"/>
    <col min="3" max="3" width="9.625" style="47" customWidth="1"/>
    <col min="4" max="4" width="9.625" style="48" customWidth="1"/>
    <col min="5" max="6" width="9.625" style="47" customWidth="1"/>
    <col min="7" max="7" width="36.00390625" style="49" customWidth="1"/>
    <col min="8" max="12" width="13.50390625" style="49" hidden="1" customWidth="1"/>
    <col min="13" max="13" width="10.25390625" style="49" customWidth="1"/>
    <col min="14" max="15" width="9.625" style="49" customWidth="1"/>
    <col min="16" max="17" width="9.625" style="50" customWidth="1"/>
    <col min="18" max="18" width="11.125" style="49" bestFit="1" customWidth="1"/>
    <col min="19" max="255" width="9.00390625" style="49" customWidth="1"/>
    <col min="256" max="256" width="9.00390625" style="47" customWidth="1"/>
  </cols>
  <sheetData>
    <row r="1" spans="1:15" ht="13.5" customHeight="1">
      <c r="A1" s="51" t="s">
        <v>132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8" customHeight="1">
      <c r="A2" s="52" t="s">
        <v>133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42" customFormat="1" ht="12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69"/>
      <c r="Q3" s="73" t="s">
        <v>4</v>
      </c>
    </row>
    <row r="4" spans="1:17" s="42" customFormat="1" ht="15.75" customHeight="1">
      <c r="A4" s="54" t="s">
        <v>134</v>
      </c>
      <c r="B4" s="54"/>
      <c r="C4" s="54"/>
      <c r="D4" s="54"/>
      <c r="E4" s="54"/>
      <c r="F4" s="54"/>
      <c r="G4" s="55" t="s">
        <v>135</v>
      </c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43" customFormat="1" ht="43.5" customHeight="1">
      <c r="A5" s="13" t="s">
        <v>136</v>
      </c>
      <c r="B5" s="13" t="s">
        <v>137</v>
      </c>
      <c r="C5" s="13" t="s">
        <v>138</v>
      </c>
      <c r="D5" s="13" t="s">
        <v>139</v>
      </c>
      <c r="E5" s="13" t="s">
        <v>140</v>
      </c>
      <c r="F5" s="13" t="s">
        <v>141</v>
      </c>
      <c r="G5" s="13" t="s">
        <v>136</v>
      </c>
      <c r="H5" s="13" t="s">
        <v>142</v>
      </c>
      <c r="I5" s="13" t="s">
        <v>143</v>
      </c>
      <c r="J5" s="13" t="s">
        <v>144</v>
      </c>
      <c r="K5" s="13" t="s">
        <v>145</v>
      </c>
      <c r="L5" s="13" t="s">
        <v>29</v>
      </c>
      <c r="M5" s="13" t="s">
        <v>137</v>
      </c>
      <c r="N5" s="13" t="s">
        <v>138</v>
      </c>
      <c r="O5" s="13" t="s">
        <v>139</v>
      </c>
      <c r="P5" s="13" t="s">
        <v>140</v>
      </c>
      <c r="Q5" s="13" t="s">
        <v>141</v>
      </c>
    </row>
    <row r="6" spans="1:255" s="43" customFormat="1" ht="16.5" customHeight="1">
      <c r="A6" s="56" t="s">
        <v>146</v>
      </c>
      <c r="B6" s="57">
        <v>12452.87</v>
      </c>
      <c r="C6" s="57">
        <v>12441.84</v>
      </c>
      <c r="D6" s="57">
        <f>D7+D8</f>
        <v>11926.630000000001</v>
      </c>
      <c r="E6" s="58">
        <f>C6/B6</f>
        <v>0.9991142604074401</v>
      </c>
      <c r="F6" s="58">
        <f>D6/C6-1</f>
        <v>-0.041409469981931846</v>
      </c>
      <c r="G6" s="56" t="s">
        <v>43</v>
      </c>
      <c r="H6" s="13"/>
      <c r="I6" s="13"/>
      <c r="J6" s="13"/>
      <c r="K6" s="13"/>
      <c r="L6" s="13"/>
      <c r="M6" s="70">
        <f aca="true" t="shared" si="0" ref="M6:O6">M7+M33+M41+M50+M56+M63+M80+M92+M101+M108+M116+M120+M126+M131+M135+M139+M143+M149+M134+M146+M151+M153+M154+M155</f>
        <v>44357.75000000001</v>
      </c>
      <c r="N6" s="70">
        <f t="shared" si="0"/>
        <v>47547.670000000006</v>
      </c>
      <c r="O6" s="70">
        <f t="shared" si="0"/>
        <v>45818.369999999995</v>
      </c>
      <c r="P6" s="71">
        <f>N6/M6</f>
        <v>1.0719134762245606</v>
      </c>
      <c r="Q6" s="71">
        <f>O6/N6-1</f>
        <v>-0.036369815808009354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</row>
    <row r="7" spans="1:17" s="44" customFormat="1" ht="16.5" customHeight="1">
      <c r="A7" s="56" t="s">
        <v>147</v>
      </c>
      <c r="B7" s="57">
        <v>10574</v>
      </c>
      <c r="C7" s="57">
        <v>10611.74</v>
      </c>
      <c r="D7" s="57">
        <v>8300</v>
      </c>
      <c r="E7" s="58">
        <f aca="true" t="shared" si="1" ref="E6:E10">C7/B7</f>
        <v>1.0035691318327975</v>
      </c>
      <c r="F7" s="58">
        <f aca="true" t="shared" si="2" ref="F7:F23">D7/C7-1</f>
        <v>-0.21784740297067207</v>
      </c>
      <c r="G7" s="56" t="s">
        <v>148</v>
      </c>
      <c r="H7" s="59">
        <v>4799.55</v>
      </c>
      <c r="I7" s="59">
        <v>3981.45</v>
      </c>
      <c r="J7" s="59">
        <v>6093.84</v>
      </c>
      <c r="K7" s="59">
        <v>4345.91</v>
      </c>
      <c r="L7" s="59">
        <f>SUM(L8:L32)</f>
        <v>6134.34</v>
      </c>
      <c r="M7" s="70">
        <v>7506.39</v>
      </c>
      <c r="N7" s="70">
        <f>SUM(N8:N32)</f>
        <v>6433.4299999999985</v>
      </c>
      <c r="O7" s="70">
        <v>8478.93</v>
      </c>
      <c r="P7" s="71">
        <f aca="true" t="shared" si="3" ref="P7:P38">N7/M7</f>
        <v>0.8570604511622761</v>
      </c>
      <c r="Q7" s="71">
        <f aca="true" t="shared" si="4" ref="Q7:Q27">O7/N7-1</f>
        <v>0.31794859040978185</v>
      </c>
    </row>
    <row r="8" spans="1:17" s="45" customFormat="1" ht="16.5" customHeight="1">
      <c r="A8" s="56" t="s">
        <v>149</v>
      </c>
      <c r="B8" s="57">
        <v>1878.87</v>
      </c>
      <c r="C8" s="57">
        <v>1830.1</v>
      </c>
      <c r="D8" s="57">
        <f>SUM(D9:D15)</f>
        <v>3626.63</v>
      </c>
      <c r="E8" s="58">
        <f t="shared" si="1"/>
        <v>0.9740429087696328</v>
      </c>
      <c r="F8" s="58">
        <f t="shared" si="2"/>
        <v>0.981656740068849</v>
      </c>
      <c r="G8" s="60" t="s">
        <v>150</v>
      </c>
      <c r="H8" s="61">
        <v>21.85</v>
      </c>
      <c r="I8" s="61">
        <v>16.93</v>
      </c>
      <c r="J8" s="61">
        <v>64.1</v>
      </c>
      <c r="K8" s="61">
        <v>46.53</v>
      </c>
      <c r="L8" s="61">
        <v>15.85</v>
      </c>
      <c r="M8" s="72">
        <v>23.9</v>
      </c>
      <c r="N8" s="72">
        <v>30.44</v>
      </c>
      <c r="O8" s="72">
        <v>21.05</v>
      </c>
      <c r="P8" s="71">
        <f t="shared" si="3"/>
        <v>1.273640167364017</v>
      </c>
      <c r="Q8" s="71">
        <f t="shared" si="4"/>
        <v>-0.30847568988173457</v>
      </c>
    </row>
    <row r="9" spans="1:17" s="45" customFormat="1" ht="16.5" customHeight="1">
      <c r="A9" s="60" t="s">
        <v>151</v>
      </c>
      <c r="B9" s="62">
        <v>976.22</v>
      </c>
      <c r="C9" s="62">
        <v>934.63</v>
      </c>
      <c r="D9" s="62">
        <v>950</v>
      </c>
      <c r="E9" s="58">
        <f t="shared" si="1"/>
        <v>0.9573968982401507</v>
      </c>
      <c r="F9" s="58">
        <f t="shared" si="2"/>
        <v>0.01644501032494139</v>
      </c>
      <c r="G9" s="60" t="s">
        <v>152</v>
      </c>
      <c r="H9" s="61">
        <v>2.4</v>
      </c>
      <c r="I9" s="61">
        <v>0.96</v>
      </c>
      <c r="J9" s="61">
        <v>2.16</v>
      </c>
      <c r="K9" s="61">
        <v>1.15</v>
      </c>
      <c r="L9" s="61">
        <v>2.66</v>
      </c>
      <c r="M9" s="72">
        <v>2.86</v>
      </c>
      <c r="N9" s="72">
        <v>2.5</v>
      </c>
      <c r="O9" s="72">
        <v>10.03</v>
      </c>
      <c r="P9" s="71">
        <f t="shared" si="3"/>
        <v>0.8741258741258742</v>
      </c>
      <c r="Q9" s="71">
        <f t="shared" si="4"/>
        <v>3.0119999999999996</v>
      </c>
    </row>
    <row r="10" spans="1:17" s="45" customFormat="1" ht="16.5" customHeight="1">
      <c r="A10" s="60" t="s">
        <v>153</v>
      </c>
      <c r="B10" s="62">
        <v>617.65</v>
      </c>
      <c r="C10" s="62">
        <v>617.82</v>
      </c>
      <c r="D10" s="62">
        <v>300.63</v>
      </c>
      <c r="E10" s="58">
        <f t="shared" si="1"/>
        <v>1.0002752367845869</v>
      </c>
      <c r="F10" s="58">
        <f t="shared" si="2"/>
        <v>-0.5134019617364282</v>
      </c>
      <c r="G10" s="60" t="s">
        <v>154</v>
      </c>
      <c r="H10" s="61">
        <v>3676.2</v>
      </c>
      <c r="I10" s="61">
        <v>2958.8</v>
      </c>
      <c r="J10" s="61">
        <v>4750.69</v>
      </c>
      <c r="K10" s="61">
        <v>3257.36</v>
      </c>
      <c r="L10" s="61">
        <v>4962.73</v>
      </c>
      <c r="M10" s="72">
        <v>6131.24</v>
      </c>
      <c r="N10" s="72">
        <v>5355.05</v>
      </c>
      <c r="O10" s="72">
        <v>6633.42</v>
      </c>
      <c r="P10" s="71">
        <f t="shared" si="3"/>
        <v>0.8734040748690315</v>
      </c>
      <c r="Q10" s="71">
        <f t="shared" si="4"/>
        <v>0.2387223275226189</v>
      </c>
    </row>
    <row r="11" spans="1:17" s="45" customFormat="1" ht="16.5" customHeight="1">
      <c r="A11" s="60" t="s">
        <v>155</v>
      </c>
      <c r="B11" s="62">
        <v>0</v>
      </c>
      <c r="C11" s="62">
        <v>0</v>
      </c>
      <c r="D11" s="62">
        <v>0</v>
      </c>
      <c r="E11" s="57">
        <v>0</v>
      </c>
      <c r="F11" s="57">
        <v>0</v>
      </c>
      <c r="G11" s="60" t="s">
        <v>156</v>
      </c>
      <c r="H11" s="61">
        <v>4.1</v>
      </c>
      <c r="I11" s="61">
        <v>11.37</v>
      </c>
      <c r="J11" s="61">
        <v>55.77</v>
      </c>
      <c r="K11" s="61">
        <v>35.53</v>
      </c>
      <c r="L11" s="61">
        <v>68.03</v>
      </c>
      <c r="M11" s="72">
        <v>179.42</v>
      </c>
      <c r="N11" s="72">
        <v>117.27</v>
      </c>
      <c r="O11" s="72">
        <v>144.7</v>
      </c>
      <c r="P11" s="71">
        <f t="shared" si="3"/>
        <v>0.6536060639839483</v>
      </c>
      <c r="Q11" s="71">
        <f t="shared" si="4"/>
        <v>0.23390466444956082</v>
      </c>
    </row>
    <row r="12" spans="1:17" s="45" customFormat="1" ht="16.5" customHeight="1">
      <c r="A12" s="60" t="s">
        <v>157</v>
      </c>
      <c r="B12" s="62">
        <v>0</v>
      </c>
      <c r="C12" s="62">
        <v>0</v>
      </c>
      <c r="D12" s="62">
        <v>0</v>
      </c>
      <c r="E12" s="57">
        <v>0</v>
      </c>
      <c r="F12" s="57">
        <v>0</v>
      </c>
      <c r="G12" s="60" t="s">
        <v>158</v>
      </c>
      <c r="H12" s="61">
        <v>8.16</v>
      </c>
      <c r="I12" s="61">
        <v>15.42</v>
      </c>
      <c r="J12" s="61">
        <v>11</v>
      </c>
      <c r="K12" s="61">
        <v>16.55</v>
      </c>
      <c r="L12" s="61">
        <v>28.9</v>
      </c>
      <c r="M12" s="72">
        <v>58.71</v>
      </c>
      <c r="N12" s="72">
        <v>39.45</v>
      </c>
      <c r="O12" s="72">
        <v>51.51</v>
      </c>
      <c r="P12" s="71">
        <f t="shared" si="3"/>
        <v>0.6719468574348493</v>
      </c>
      <c r="Q12" s="71">
        <f t="shared" si="4"/>
        <v>0.30570342205323175</v>
      </c>
    </row>
    <row r="13" spans="1:17" s="45" customFormat="1" ht="16.5" customHeight="1">
      <c r="A13" s="60" t="s">
        <v>159</v>
      </c>
      <c r="B13" s="62">
        <v>156</v>
      </c>
      <c r="C13" s="62">
        <v>155.9</v>
      </c>
      <c r="D13" s="62">
        <v>2350</v>
      </c>
      <c r="E13" s="58">
        <f aca="true" t="shared" si="5" ref="E13:E21">C13/B13</f>
        <v>0.9993589743589744</v>
      </c>
      <c r="F13" s="58">
        <f t="shared" si="2"/>
        <v>14.073765234124439</v>
      </c>
      <c r="G13" s="60" t="s">
        <v>160</v>
      </c>
      <c r="H13" s="61">
        <v>173.73</v>
      </c>
      <c r="I13" s="61">
        <v>168.16</v>
      </c>
      <c r="J13" s="61">
        <v>182.15</v>
      </c>
      <c r="K13" s="61">
        <v>110.49</v>
      </c>
      <c r="L13" s="61">
        <v>158.33</v>
      </c>
      <c r="M13" s="72">
        <v>139.05</v>
      </c>
      <c r="N13" s="72">
        <v>113.88</v>
      </c>
      <c r="O13" s="72">
        <f>168.48+0.01</f>
        <v>168.48999999999998</v>
      </c>
      <c r="P13" s="71">
        <f t="shared" si="3"/>
        <v>0.8189859762675296</v>
      </c>
      <c r="Q13" s="71">
        <f t="shared" si="4"/>
        <v>0.47953986652616787</v>
      </c>
    </row>
    <row r="14" spans="1:17" s="45" customFormat="1" ht="16.5" customHeight="1">
      <c r="A14" s="60" t="s">
        <v>161</v>
      </c>
      <c r="B14" s="62">
        <v>0</v>
      </c>
      <c r="C14" s="62">
        <v>0</v>
      </c>
      <c r="D14" s="62">
        <v>0</v>
      </c>
      <c r="E14" s="57">
        <v>0</v>
      </c>
      <c r="F14" s="57">
        <v>0</v>
      </c>
      <c r="G14" s="60" t="s">
        <v>162</v>
      </c>
      <c r="H14" s="61">
        <v>37</v>
      </c>
      <c r="I14" s="61">
        <v>11.16</v>
      </c>
      <c r="J14" s="61">
        <v>13</v>
      </c>
      <c r="K14" s="61">
        <v>0</v>
      </c>
      <c r="L14" s="61">
        <v>0</v>
      </c>
      <c r="M14" s="72">
        <v>25.42</v>
      </c>
      <c r="N14" s="72">
        <v>24.04</v>
      </c>
      <c r="O14" s="72">
        <v>25</v>
      </c>
      <c r="P14" s="71">
        <f t="shared" si="3"/>
        <v>0.9457120377655388</v>
      </c>
      <c r="Q14" s="71">
        <f t="shared" si="4"/>
        <v>0.03993344425956735</v>
      </c>
    </row>
    <row r="15" spans="1:17" s="45" customFormat="1" ht="16.5" customHeight="1">
      <c r="A15" s="60" t="s">
        <v>163</v>
      </c>
      <c r="B15" s="62">
        <v>129</v>
      </c>
      <c r="C15" s="62">
        <v>121.75</v>
      </c>
      <c r="D15" s="62">
        <v>26</v>
      </c>
      <c r="E15" s="58">
        <f t="shared" si="5"/>
        <v>0.9437984496124031</v>
      </c>
      <c r="F15" s="58">
        <f t="shared" si="2"/>
        <v>-0.786447638603696</v>
      </c>
      <c r="G15" s="60" t="s">
        <v>164</v>
      </c>
      <c r="H15" s="61">
        <v>17.53</v>
      </c>
      <c r="I15" s="61">
        <v>9.34</v>
      </c>
      <c r="J15" s="61">
        <v>18</v>
      </c>
      <c r="K15" s="61">
        <v>14.15</v>
      </c>
      <c r="L15" s="61">
        <v>16</v>
      </c>
      <c r="M15" s="72">
        <v>20.74</v>
      </c>
      <c r="N15" s="72">
        <v>20.74</v>
      </c>
      <c r="O15" s="72">
        <v>21</v>
      </c>
      <c r="P15" s="71">
        <f t="shared" si="3"/>
        <v>1</v>
      </c>
      <c r="Q15" s="71">
        <f t="shared" si="4"/>
        <v>0.012536162005786</v>
      </c>
    </row>
    <row r="16" spans="1:17" s="45" customFormat="1" ht="16.5" customHeight="1">
      <c r="A16" s="60"/>
      <c r="B16" s="62"/>
      <c r="C16" s="62"/>
      <c r="D16" s="62"/>
      <c r="E16" s="63"/>
      <c r="F16" s="58"/>
      <c r="G16" s="60" t="s">
        <v>165</v>
      </c>
      <c r="H16" s="61">
        <v>52.31</v>
      </c>
      <c r="I16" s="61">
        <v>54.27</v>
      </c>
      <c r="J16" s="61">
        <v>52.31</v>
      </c>
      <c r="K16" s="61">
        <v>3.71</v>
      </c>
      <c r="L16" s="61">
        <v>3.71</v>
      </c>
      <c r="M16" s="72">
        <v>23.71</v>
      </c>
      <c r="N16" s="72">
        <v>23.7</v>
      </c>
      <c r="O16" s="72">
        <v>23.71</v>
      </c>
      <c r="P16" s="71">
        <f t="shared" si="3"/>
        <v>0.9995782370307886</v>
      </c>
      <c r="Q16" s="71">
        <f t="shared" si="4"/>
        <v>0.00042194092827019247</v>
      </c>
    </row>
    <row r="17" spans="1:17" s="45" customFormat="1" ht="16.5" customHeight="1">
      <c r="A17" s="60"/>
      <c r="B17" s="62"/>
      <c r="C17" s="62"/>
      <c r="D17" s="62"/>
      <c r="E17" s="63"/>
      <c r="F17" s="58"/>
      <c r="G17" s="60" t="s">
        <v>166</v>
      </c>
      <c r="H17" s="61">
        <v>83.5</v>
      </c>
      <c r="I17" s="61">
        <v>49.04</v>
      </c>
      <c r="J17" s="61">
        <v>52.05</v>
      </c>
      <c r="K17" s="61">
        <v>27.59</v>
      </c>
      <c r="L17" s="61">
        <v>41.5</v>
      </c>
      <c r="M17" s="72">
        <v>23</v>
      </c>
      <c r="N17" s="72">
        <v>16.75</v>
      </c>
      <c r="O17" s="72">
        <v>24</v>
      </c>
      <c r="P17" s="71">
        <f t="shared" si="3"/>
        <v>0.7282608695652174</v>
      </c>
      <c r="Q17" s="71">
        <f t="shared" si="4"/>
        <v>0.4328358208955223</v>
      </c>
    </row>
    <row r="18" spans="1:17" s="45" customFormat="1" ht="16.5" customHeight="1">
      <c r="A18" s="56" t="s">
        <v>62</v>
      </c>
      <c r="B18" s="57">
        <f>B19+B23</f>
        <v>17879</v>
      </c>
      <c r="C18" s="57">
        <f>C19+C23</f>
        <v>20096.07</v>
      </c>
      <c r="D18" s="57">
        <f>D19+D23</f>
        <v>19494.100000000002</v>
      </c>
      <c r="E18" s="58">
        <f t="shared" si="5"/>
        <v>1.1240041389339448</v>
      </c>
      <c r="F18" s="58">
        <f t="shared" si="2"/>
        <v>-0.029954613016375697</v>
      </c>
      <c r="G18" s="60" t="s">
        <v>167</v>
      </c>
      <c r="H18" s="61">
        <v>15</v>
      </c>
      <c r="I18" s="61">
        <v>14.81</v>
      </c>
      <c r="J18" s="61">
        <v>32.16</v>
      </c>
      <c r="K18" s="61">
        <v>24.6</v>
      </c>
      <c r="L18" s="61">
        <v>15.59</v>
      </c>
      <c r="M18" s="72">
        <v>10.1</v>
      </c>
      <c r="N18" s="72">
        <v>8.96</v>
      </c>
      <c r="O18" s="72">
        <v>8.59</v>
      </c>
      <c r="P18" s="71">
        <f t="shared" si="3"/>
        <v>0.8871287128712873</v>
      </c>
      <c r="Q18" s="71">
        <f t="shared" si="4"/>
        <v>-0.041294642857143016</v>
      </c>
    </row>
    <row r="19" spans="1:17" s="45" customFormat="1" ht="16.5" customHeight="1">
      <c r="A19" s="56" t="s">
        <v>168</v>
      </c>
      <c r="B19" s="57">
        <f>B20+B21+B22</f>
        <v>14317</v>
      </c>
      <c r="C19" s="57">
        <f>C20+C21+C22</f>
        <v>14693.04</v>
      </c>
      <c r="D19" s="57">
        <f>D20+D21+D22</f>
        <v>14110.54</v>
      </c>
      <c r="E19" s="58">
        <f t="shared" si="5"/>
        <v>1.0262652790389049</v>
      </c>
      <c r="F19" s="58">
        <f t="shared" si="2"/>
        <v>-0.039644620854499824</v>
      </c>
      <c r="G19" s="60" t="s">
        <v>169</v>
      </c>
      <c r="H19" s="61">
        <v>101</v>
      </c>
      <c r="I19" s="61">
        <v>43.48</v>
      </c>
      <c r="J19" s="61">
        <v>85.88</v>
      </c>
      <c r="K19" s="61">
        <v>149.62</v>
      </c>
      <c r="L19" s="61">
        <v>88.46</v>
      </c>
      <c r="M19" s="72">
        <v>34.67</v>
      </c>
      <c r="N19" s="72">
        <v>10.74</v>
      </c>
      <c r="O19" s="72">
        <v>0</v>
      </c>
      <c r="P19" s="71">
        <f t="shared" si="3"/>
        <v>0.30977790597057975</v>
      </c>
      <c r="Q19" s="71">
        <f t="shared" si="4"/>
        <v>-1</v>
      </c>
    </row>
    <row r="20" spans="1:17" s="45" customFormat="1" ht="16.5" customHeight="1">
      <c r="A20" s="60" t="s">
        <v>170</v>
      </c>
      <c r="B20" s="62">
        <v>7393</v>
      </c>
      <c r="C20" s="62">
        <v>7769</v>
      </c>
      <c r="D20" s="62">
        <v>7100</v>
      </c>
      <c r="E20" s="58">
        <f t="shared" si="5"/>
        <v>1.050858920600568</v>
      </c>
      <c r="F20" s="58">
        <f t="shared" si="2"/>
        <v>-0.08611146865748487</v>
      </c>
      <c r="G20" s="60" t="s">
        <v>171</v>
      </c>
      <c r="H20" s="61">
        <v>14.13</v>
      </c>
      <c r="I20" s="61">
        <v>22.53</v>
      </c>
      <c r="J20" s="61">
        <v>64.95</v>
      </c>
      <c r="K20" s="61">
        <v>126.38</v>
      </c>
      <c r="L20" s="61">
        <v>156.35</v>
      </c>
      <c r="M20" s="72">
        <v>35.47</v>
      </c>
      <c r="N20" s="72">
        <v>17.21</v>
      </c>
      <c r="O20" s="72">
        <v>0</v>
      </c>
      <c r="P20" s="71">
        <f t="shared" si="3"/>
        <v>0.48519875951508323</v>
      </c>
      <c r="Q20" s="71">
        <f t="shared" si="4"/>
        <v>-1</v>
      </c>
    </row>
    <row r="21" spans="1:17" s="45" customFormat="1" ht="16.5" customHeight="1">
      <c r="A21" s="60" t="s">
        <v>172</v>
      </c>
      <c r="B21" s="62">
        <v>924</v>
      </c>
      <c r="C21" s="62">
        <v>924.04</v>
      </c>
      <c r="D21" s="62">
        <v>1010.54</v>
      </c>
      <c r="E21" s="58">
        <f t="shared" si="5"/>
        <v>1.00004329004329</v>
      </c>
      <c r="F21" s="58">
        <f t="shared" si="2"/>
        <v>0.09361066620492631</v>
      </c>
      <c r="G21" s="60" t="s">
        <v>173</v>
      </c>
      <c r="H21" s="61"/>
      <c r="I21" s="61"/>
      <c r="J21" s="61">
        <v>0</v>
      </c>
      <c r="K21" s="61">
        <v>0</v>
      </c>
      <c r="L21" s="61">
        <v>0.61</v>
      </c>
      <c r="M21" s="72">
        <v>2</v>
      </c>
      <c r="N21" s="72">
        <v>0.86</v>
      </c>
      <c r="O21" s="72">
        <v>0</v>
      </c>
      <c r="P21" s="71">
        <f t="shared" si="3"/>
        <v>0.43</v>
      </c>
      <c r="Q21" s="71">
        <f t="shared" si="4"/>
        <v>-1</v>
      </c>
    </row>
    <row r="22" spans="1:17" s="45" customFormat="1" ht="16.5" customHeight="1">
      <c r="A22" s="60" t="s">
        <v>174</v>
      </c>
      <c r="B22" s="62">
        <v>6000</v>
      </c>
      <c r="C22" s="62">
        <v>6000</v>
      </c>
      <c r="D22" s="62">
        <v>6000</v>
      </c>
      <c r="E22" s="58">
        <f aca="true" t="shared" si="6" ref="E22:E27">C22/B22</f>
        <v>1</v>
      </c>
      <c r="F22" s="58">
        <f t="shared" si="2"/>
        <v>0</v>
      </c>
      <c r="G22" s="60" t="s">
        <v>175</v>
      </c>
      <c r="H22" s="61">
        <v>8</v>
      </c>
      <c r="I22" s="61">
        <v>17.87</v>
      </c>
      <c r="J22" s="61">
        <v>8</v>
      </c>
      <c r="K22" s="61">
        <v>11.96</v>
      </c>
      <c r="L22" s="61">
        <v>17</v>
      </c>
      <c r="M22" s="72">
        <v>58.68</v>
      </c>
      <c r="N22" s="72">
        <v>34.9</v>
      </c>
      <c r="O22" s="72">
        <v>39.61</v>
      </c>
      <c r="P22" s="71">
        <f t="shared" si="3"/>
        <v>0.5947511929107021</v>
      </c>
      <c r="Q22" s="71">
        <f t="shared" si="4"/>
        <v>0.1349570200573067</v>
      </c>
    </row>
    <row r="23" spans="1:17" s="45" customFormat="1" ht="16.5" customHeight="1">
      <c r="A23" s="56" t="s">
        <v>176</v>
      </c>
      <c r="B23" s="57">
        <v>3562</v>
      </c>
      <c r="C23" s="57">
        <v>5403.03</v>
      </c>
      <c r="D23" s="57">
        <v>5383.56</v>
      </c>
      <c r="E23" s="58">
        <f t="shared" si="6"/>
        <v>1.5168528916339135</v>
      </c>
      <c r="F23" s="58">
        <f t="shared" si="2"/>
        <v>-0.003603533572828499</v>
      </c>
      <c r="G23" s="60" t="s">
        <v>177</v>
      </c>
      <c r="H23" s="61">
        <v>19.78</v>
      </c>
      <c r="I23" s="61">
        <v>17.78</v>
      </c>
      <c r="J23" s="61">
        <v>13.7</v>
      </c>
      <c r="K23" s="61">
        <v>13.42</v>
      </c>
      <c r="L23" s="61">
        <v>5.1</v>
      </c>
      <c r="M23" s="72">
        <v>3</v>
      </c>
      <c r="N23" s="72">
        <v>3</v>
      </c>
      <c r="O23" s="72">
        <v>3</v>
      </c>
      <c r="P23" s="71">
        <f t="shared" si="3"/>
        <v>1</v>
      </c>
      <c r="Q23" s="71">
        <f t="shared" si="4"/>
        <v>0</v>
      </c>
    </row>
    <row r="24" spans="1:17" s="45" customFormat="1" ht="16.5" customHeight="1">
      <c r="A24" s="60"/>
      <c r="B24" s="62"/>
      <c r="C24" s="62"/>
      <c r="D24" s="62"/>
      <c r="E24" s="58"/>
      <c r="F24" s="58"/>
      <c r="G24" s="60" t="s">
        <v>178</v>
      </c>
      <c r="H24" s="61">
        <v>70.33</v>
      </c>
      <c r="I24" s="61">
        <v>62.34</v>
      </c>
      <c r="J24" s="61">
        <v>161.21</v>
      </c>
      <c r="K24" s="61">
        <v>63.91</v>
      </c>
      <c r="L24" s="61">
        <v>42.34</v>
      </c>
      <c r="M24" s="72">
        <v>125.97</v>
      </c>
      <c r="N24" s="72">
        <v>81.41</v>
      </c>
      <c r="O24" s="72">
        <v>186.98</v>
      </c>
      <c r="P24" s="71">
        <f t="shared" si="3"/>
        <v>0.646264983726284</v>
      </c>
      <c r="Q24" s="71">
        <f t="shared" si="4"/>
        <v>1.296769438643901</v>
      </c>
    </row>
    <row r="25" spans="1:17" s="45" customFormat="1" ht="16.5" customHeight="1">
      <c r="A25" s="56" t="s">
        <v>179</v>
      </c>
      <c r="B25" s="57">
        <v>0</v>
      </c>
      <c r="C25" s="57">
        <v>0</v>
      </c>
      <c r="D25" s="57">
        <v>1500</v>
      </c>
      <c r="E25" s="57">
        <v>0</v>
      </c>
      <c r="F25" s="57">
        <v>0</v>
      </c>
      <c r="G25" s="60" t="s">
        <v>180</v>
      </c>
      <c r="H25" s="61">
        <v>45.1</v>
      </c>
      <c r="I25" s="61">
        <v>70.63</v>
      </c>
      <c r="J25" s="61">
        <v>51.3</v>
      </c>
      <c r="K25" s="61">
        <v>76.22</v>
      </c>
      <c r="L25" s="61">
        <v>112.54</v>
      </c>
      <c r="M25" s="72">
        <v>18</v>
      </c>
      <c r="N25" s="72">
        <v>10.98</v>
      </c>
      <c r="O25" s="72">
        <v>1.3</v>
      </c>
      <c r="P25" s="71">
        <f t="shared" si="3"/>
        <v>0.61</v>
      </c>
      <c r="Q25" s="71">
        <f t="shared" si="4"/>
        <v>-0.8816029143897997</v>
      </c>
    </row>
    <row r="26" spans="1:17" s="45" customFormat="1" ht="16.5" customHeight="1">
      <c r="A26" s="60"/>
      <c r="B26" s="62"/>
      <c r="C26" s="62"/>
      <c r="D26" s="62"/>
      <c r="E26" s="58"/>
      <c r="F26" s="58"/>
      <c r="G26" s="60" t="s">
        <v>181</v>
      </c>
      <c r="H26" s="61">
        <v>410.16</v>
      </c>
      <c r="I26" s="61">
        <v>389.34</v>
      </c>
      <c r="J26" s="61">
        <v>360.97</v>
      </c>
      <c r="K26" s="61">
        <v>291.42</v>
      </c>
      <c r="L26" s="61">
        <v>329.15</v>
      </c>
      <c r="M26" s="72">
        <v>472.23</v>
      </c>
      <c r="N26" s="72">
        <v>433.95</v>
      </c>
      <c r="O26" s="72">
        <v>738.65</v>
      </c>
      <c r="P26" s="71">
        <f t="shared" si="3"/>
        <v>0.9189378057302585</v>
      </c>
      <c r="Q26" s="71">
        <f t="shared" si="4"/>
        <v>0.7021546261089988</v>
      </c>
    </row>
    <row r="27" spans="1:17" s="45" customFormat="1" ht="16.5" customHeight="1">
      <c r="A27" s="56" t="s">
        <v>182</v>
      </c>
      <c r="B27" s="57">
        <v>6000</v>
      </c>
      <c r="C27" s="57">
        <v>6983.88</v>
      </c>
      <c r="D27" s="57">
        <v>7149.620000000001</v>
      </c>
      <c r="E27" s="58">
        <f t="shared" si="6"/>
        <v>1.16398</v>
      </c>
      <c r="F27" s="58">
        <f>D27/C27-1</f>
        <v>0.023731793787980404</v>
      </c>
      <c r="G27" s="60" t="s">
        <v>183</v>
      </c>
      <c r="H27" s="61">
        <v>30.43</v>
      </c>
      <c r="I27" s="61">
        <v>42.89</v>
      </c>
      <c r="J27" s="61">
        <v>24.17</v>
      </c>
      <c r="K27" s="61">
        <v>21.63</v>
      </c>
      <c r="L27" s="61">
        <v>28.47</v>
      </c>
      <c r="M27" s="72">
        <v>1.5</v>
      </c>
      <c r="N27" s="72">
        <v>1.5</v>
      </c>
      <c r="O27" s="72">
        <v>2.3</v>
      </c>
      <c r="P27" s="71">
        <f t="shared" si="3"/>
        <v>1</v>
      </c>
      <c r="Q27" s="71">
        <f t="shared" si="4"/>
        <v>0.5333333333333332</v>
      </c>
    </row>
    <row r="28" spans="1:17" s="45" customFormat="1" ht="16.5" customHeight="1">
      <c r="A28" s="56"/>
      <c r="B28" s="62"/>
      <c r="C28" s="62"/>
      <c r="D28" s="62"/>
      <c r="E28" s="58"/>
      <c r="F28" s="58"/>
      <c r="G28" s="60" t="s">
        <v>184</v>
      </c>
      <c r="H28" s="61"/>
      <c r="I28" s="61"/>
      <c r="J28" s="61">
        <v>0</v>
      </c>
      <c r="K28" s="61">
        <v>5</v>
      </c>
      <c r="L28" s="61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</row>
    <row r="29" spans="1:17" s="45" customFormat="1" ht="16.5" customHeight="1">
      <c r="A29" s="56" t="s">
        <v>185</v>
      </c>
      <c r="B29" s="57">
        <v>8025.88</v>
      </c>
      <c r="C29" s="57">
        <v>8025.88</v>
      </c>
      <c r="D29" s="57">
        <v>5748.019999999999</v>
      </c>
      <c r="E29" s="58">
        <f>C29/B29</f>
        <v>1</v>
      </c>
      <c r="F29" s="58">
        <f>D29/C29-1</f>
        <v>-0.2838143605436415</v>
      </c>
      <c r="G29" s="60" t="s">
        <v>186</v>
      </c>
      <c r="H29" s="61">
        <v>2.5</v>
      </c>
      <c r="I29" s="61">
        <v>0.72</v>
      </c>
      <c r="J29" s="61">
        <v>2.5</v>
      </c>
      <c r="K29" s="61">
        <v>0.5</v>
      </c>
      <c r="L29" s="61">
        <v>0.5</v>
      </c>
      <c r="M29" s="72">
        <v>0</v>
      </c>
      <c r="N29" s="72">
        <v>0</v>
      </c>
      <c r="O29" s="72">
        <v>4.73</v>
      </c>
      <c r="P29" s="72">
        <v>0</v>
      </c>
      <c r="Q29" s="72">
        <v>0</v>
      </c>
    </row>
    <row r="30" spans="1:17" s="45" customFormat="1" ht="16.5" customHeight="1">
      <c r="A30" s="56"/>
      <c r="B30" s="64"/>
      <c r="C30" s="64"/>
      <c r="D30" s="64"/>
      <c r="E30" s="65"/>
      <c r="F30" s="65"/>
      <c r="G30" s="60" t="s">
        <v>187</v>
      </c>
      <c r="H30" s="61"/>
      <c r="I30" s="61"/>
      <c r="J30" s="61"/>
      <c r="K30" s="61"/>
      <c r="L30" s="61"/>
      <c r="M30" s="72">
        <v>0</v>
      </c>
      <c r="N30" s="72">
        <v>0</v>
      </c>
      <c r="O30" s="72">
        <v>0.8</v>
      </c>
      <c r="P30" s="72">
        <v>0</v>
      </c>
      <c r="Q30" s="72">
        <v>0</v>
      </c>
    </row>
    <row r="31" spans="1:17" s="45" customFormat="1" ht="16.5" customHeight="1">
      <c r="A31" s="56"/>
      <c r="B31" s="64"/>
      <c r="C31" s="64"/>
      <c r="D31" s="64"/>
      <c r="E31" s="65"/>
      <c r="F31" s="65"/>
      <c r="G31" s="60" t="s">
        <v>188</v>
      </c>
      <c r="H31" s="61"/>
      <c r="I31" s="61"/>
      <c r="J31" s="61"/>
      <c r="K31" s="61"/>
      <c r="L31" s="61"/>
      <c r="M31" s="72">
        <v>0</v>
      </c>
      <c r="N31" s="72">
        <v>0</v>
      </c>
      <c r="O31" s="72">
        <v>92.84</v>
      </c>
      <c r="P31" s="72">
        <v>0</v>
      </c>
      <c r="Q31" s="72">
        <v>0</v>
      </c>
    </row>
    <row r="32" spans="1:17" s="45" customFormat="1" ht="16.5" customHeight="1">
      <c r="A32" s="60"/>
      <c r="B32" s="66"/>
      <c r="C32" s="66"/>
      <c r="D32" s="66"/>
      <c r="E32" s="66"/>
      <c r="F32" s="66"/>
      <c r="G32" s="60" t="s">
        <v>189</v>
      </c>
      <c r="H32" s="61">
        <v>0</v>
      </c>
      <c r="I32" s="61">
        <v>3.58</v>
      </c>
      <c r="J32" s="61">
        <v>80.63</v>
      </c>
      <c r="K32" s="61">
        <v>48.19</v>
      </c>
      <c r="L32" s="61">
        <v>40.52</v>
      </c>
      <c r="M32" s="72">
        <v>116.72</v>
      </c>
      <c r="N32" s="72">
        <f>86+0.1</f>
        <v>86.1</v>
      </c>
      <c r="O32" s="72">
        <v>277.22</v>
      </c>
      <c r="P32" s="71">
        <f t="shared" si="3"/>
        <v>0.7376627827278958</v>
      </c>
      <c r="Q32" s="71">
        <f>O32/N32-1</f>
        <v>2.219744483159118</v>
      </c>
    </row>
    <row r="33" spans="1:17" s="45" customFormat="1" ht="16.5" customHeight="1">
      <c r="A33" s="67"/>
      <c r="B33" s="67"/>
      <c r="C33" s="66"/>
      <c r="D33" s="67"/>
      <c r="E33" s="67"/>
      <c r="F33" s="67"/>
      <c r="G33" s="56" t="s">
        <v>190</v>
      </c>
      <c r="H33" s="59">
        <v>3336.4</v>
      </c>
      <c r="I33" s="59">
        <v>3062.31</v>
      </c>
      <c r="J33" s="59">
        <v>3281.68</v>
      </c>
      <c r="K33" s="59">
        <v>3419.39</v>
      </c>
      <c r="L33" s="59">
        <f>SUM(L34:L40)</f>
        <v>3758.4700000000003</v>
      </c>
      <c r="M33" s="70">
        <v>4189.900000000001</v>
      </c>
      <c r="N33" s="70">
        <f>SUM(N34:N40)</f>
        <v>3923.73</v>
      </c>
      <c r="O33" s="70">
        <v>3904.08</v>
      </c>
      <c r="P33" s="71">
        <f t="shared" si="3"/>
        <v>0.9364734241867346</v>
      </c>
      <c r="Q33" s="71">
        <f aca="true" t="shared" si="7" ref="Q33:Q43">O33/N33-1</f>
        <v>-0.005007989846396166</v>
      </c>
    </row>
    <row r="34" spans="1:17" s="45" customFormat="1" ht="16.5" customHeight="1">
      <c r="A34" s="66"/>
      <c r="B34" s="66"/>
      <c r="C34" s="66"/>
      <c r="D34" s="66"/>
      <c r="E34" s="66"/>
      <c r="F34" s="66"/>
      <c r="G34" s="60" t="s">
        <v>191</v>
      </c>
      <c r="H34" s="61">
        <v>452.27</v>
      </c>
      <c r="I34" s="61">
        <v>472.4</v>
      </c>
      <c r="J34" s="61">
        <v>430.3</v>
      </c>
      <c r="K34" s="61">
        <v>431.81</v>
      </c>
      <c r="L34" s="61">
        <v>444.22</v>
      </c>
      <c r="M34" s="72">
        <v>493.67</v>
      </c>
      <c r="N34" s="72">
        <v>460.4</v>
      </c>
      <c r="O34" s="72">
        <v>72.11</v>
      </c>
      <c r="P34" s="71">
        <f t="shared" si="3"/>
        <v>0.932606802114773</v>
      </c>
      <c r="Q34" s="71">
        <f t="shared" si="7"/>
        <v>-0.8433753258036489</v>
      </c>
    </row>
    <row r="35" spans="1:17" s="44" customFormat="1" ht="16.5" customHeight="1">
      <c r="A35" s="66"/>
      <c r="B35" s="66"/>
      <c r="C35" s="66"/>
      <c r="D35" s="66"/>
      <c r="E35" s="66"/>
      <c r="F35" s="66"/>
      <c r="G35" s="60" t="s">
        <v>192</v>
      </c>
      <c r="H35" s="61">
        <v>2619.3</v>
      </c>
      <c r="I35" s="61">
        <v>2405.42</v>
      </c>
      <c r="J35" s="61">
        <v>2629.58</v>
      </c>
      <c r="K35" s="61">
        <v>2811.83</v>
      </c>
      <c r="L35" s="61">
        <v>3101.54</v>
      </c>
      <c r="M35" s="72">
        <v>3433.65</v>
      </c>
      <c r="N35" s="72">
        <v>3242.53</v>
      </c>
      <c r="O35" s="72">
        <v>3537.06</v>
      </c>
      <c r="P35" s="71">
        <f t="shared" si="3"/>
        <v>0.9443391143535306</v>
      </c>
      <c r="Q35" s="71">
        <f t="shared" si="7"/>
        <v>0.0908333924435547</v>
      </c>
    </row>
    <row r="36" spans="1:17" s="45" customFormat="1" ht="16.5" customHeight="1">
      <c r="A36" s="66"/>
      <c r="B36" s="66"/>
      <c r="C36" s="66"/>
      <c r="D36" s="66"/>
      <c r="E36" s="66"/>
      <c r="F36" s="66"/>
      <c r="G36" s="60" t="s">
        <v>193</v>
      </c>
      <c r="H36" s="61">
        <v>0</v>
      </c>
      <c r="I36" s="61">
        <v>0</v>
      </c>
      <c r="J36" s="61">
        <v>0</v>
      </c>
      <c r="K36" s="61">
        <v>0</v>
      </c>
      <c r="L36" s="61">
        <v>21.65</v>
      </c>
      <c r="M36" s="72">
        <v>22.39</v>
      </c>
      <c r="N36" s="72">
        <v>15.88</v>
      </c>
      <c r="O36" s="72">
        <v>17.59</v>
      </c>
      <c r="P36" s="71">
        <f t="shared" si="3"/>
        <v>0.7092451987494417</v>
      </c>
      <c r="Q36" s="71">
        <f t="shared" si="7"/>
        <v>0.10768261964735504</v>
      </c>
    </row>
    <row r="37" spans="1:17" s="45" customFormat="1" ht="16.5" customHeight="1">
      <c r="A37" s="66"/>
      <c r="B37" s="66"/>
      <c r="C37" s="66"/>
      <c r="D37" s="66"/>
      <c r="E37" s="66"/>
      <c r="F37" s="66"/>
      <c r="G37" s="60" t="s">
        <v>194</v>
      </c>
      <c r="H37" s="61">
        <v>59</v>
      </c>
      <c r="I37" s="61">
        <v>39.22</v>
      </c>
      <c r="J37" s="61">
        <v>56.94</v>
      </c>
      <c r="K37" s="61">
        <v>37.92</v>
      </c>
      <c r="L37" s="61">
        <v>51.54</v>
      </c>
      <c r="M37" s="72">
        <v>80.96</v>
      </c>
      <c r="N37" s="72">
        <v>65.35</v>
      </c>
      <c r="O37" s="72">
        <v>55.1</v>
      </c>
      <c r="P37" s="71">
        <f t="shared" si="3"/>
        <v>0.8071887351778656</v>
      </c>
      <c r="Q37" s="71">
        <f t="shared" si="7"/>
        <v>-0.15684774292272374</v>
      </c>
    </row>
    <row r="38" spans="1:17" s="45" customFormat="1" ht="16.5" customHeight="1">
      <c r="A38" s="66"/>
      <c r="B38" s="66"/>
      <c r="C38" s="66"/>
      <c r="D38" s="66"/>
      <c r="E38" s="66"/>
      <c r="F38" s="66"/>
      <c r="G38" s="60" t="s">
        <v>195</v>
      </c>
      <c r="H38" s="61">
        <v>1</v>
      </c>
      <c r="I38" s="61">
        <v>12.95</v>
      </c>
      <c r="J38" s="61">
        <v>24</v>
      </c>
      <c r="K38" s="61">
        <v>12.48</v>
      </c>
      <c r="L38" s="61">
        <v>16.16</v>
      </c>
      <c r="M38" s="72">
        <v>29.42</v>
      </c>
      <c r="N38" s="72">
        <v>20.64</v>
      </c>
      <c r="O38" s="72">
        <v>19.05</v>
      </c>
      <c r="P38" s="71">
        <f t="shared" si="3"/>
        <v>0.7015635622025832</v>
      </c>
      <c r="Q38" s="71">
        <f t="shared" si="7"/>
        <v>-0.07703488372093026</v>
      </c>
    </row>
    <row r="39" spans="1:17" s="45" customFormat="1" ht="16.5" customHeight="1">
      <c r="A39" s="66"/>
      <c r="B39" s="66"/>
      <c r="C39" s="66"/>
      <c r="D39" s="66"/>
      <c r="E39" s="66"/>
      <c r="F39" s="66"/>
      <c r="G39" s="60" t="s">
        <v>196</v>
      </c>
      <c r="H39" s="61">
        <v>6.4</v>
      </c>
      <c r="I39" s="61">
        <v>11.2</v>
      </c>
      <c r="J39" s="61">
        <v>4</v>
      </c>
      <c r="K39" s="61">
        <v>2.77</v>
      </c>
      <c r="L39" s="61">
        <v>4</v>
      </c>
      <c r="M39" s="72">
        <v>1.5</v>
      </c>
      <c r="N39" s="72">
        <v>0.64</v>
      </c>
      <c r="O39" s="72">
        <v>0</v>
      </c>
      <c r="P39" s="71">
        <f aca="true" t="shared" si="8" ref="P39:P70">N39/M39</f>
        <v>0.4266666666666667</v>
      </c>
      <c r="Q39" s="71">
        <f t="shared" si="7"/>
        <v>-1</v>
      </c>
    </row>
    <row r="40" spans="1:17" s="45" customFormat="1" ht="16.5" customHeight="1">
      <c r="A40" s="66"/>
      <c r="B40" s="66"/>
      <c r="C40" s="66"/>
      <c r="D40" s="66"/>
      <c r="E40" s="66"/>
      <c r="F40" s="66"/>
      <c r="G40" s="60" t="s">
        <v>197</v>
      </c>
      <c r="H40" s="61">
        <v>198.44</v>
      </c>
      <c r="I40" s="61">
        <v>121.12</v>
      </c>
      <c r="J40" s="61">
        <v>136.86</v>
      </c>
      <c r="K40" s="61">
        <v>122.58</v>
      </c>
      <c r="L40" s="61">
        <v>119.36</v>
      </c>
      <c r="M40" s="72">
        <v>128.31</v>
      </c>
      <c r="N40" s="72">
        <v>118.29</v>
      </c>
      <c r="O40" s="72">
        <v>203.17</v>
      </c>
      <c r="P40" s="71">
        <f t="shared" si="8"/>
        <v>0.9219078793546879</v>
      </c>
      <c r="Q40" s="71">
        <f t="shared" si="7"/>
        <v>0.7175585425648827</v>
      </c>
    </row>
    <row r="41" spans="1:17" s="45" customFormat="1" ht="16.5" customHeight="1">
      <c r="A41" s="67"/>
      <c r="B41" s="67"/>
      <c r="C41" s="67"/>
      <c r="D41" s="67"/>
      <c r="E41" s="67"/>
      <c r="F41" s="67"/>
      <c r="G41" s="56" t="s">
        <v>198</v>
      </c>
      <c r="H41" s="59">
        <v>4224.03</v>
      </c>
      <c r="I41" s="59">
        <v>4311.19</v>
      </c>
      <c r="J41" s="59">
        <v>4719.52</v>
      </c>
      <c r="K41" s="59">
        <v>4554.7</v>
      </c>
      <c r="L41" s="59">
        <f>SUM(L42:L49)</f>
        <v>4933.570000000001</v>
      </c>
      <c r="M41" s="70">
        <v>6136.34</v>
      </c>
      <c r="N41" s="70">
        <f>SUM(N42:N49)</f>
        <v>6190.63</v>
      </c>
      <c r="O41" s="70">
        <v>6897.63</v>
      </c>
      <c r="P41" s="71">
        <f t="shared" si="8"/>
        <v>1.0088472933377224</v>
      </c>
      <c r="Q41" s="71">
        <f t="shared" si="7"/>
        <v>0.11420485475630104</v>
      </c>
    </row>
    <row r="42" spans="1:17" s="45" customFormat="1" ht="16.5" customHeight="1">
      <c r="A42" s="66"/>
      <c r="B42" s="66"/>
      <c r="C42" s="66"/>
      <c r="D42" s="66"/>
      <c r="E42" s="66"/>
      <c r="F42" s="66"/>
      <c r="G42" s="60" t="s">
        <v>199</v>
      </c>
      <c r="H42" s="61">
        <v>321.92</v>
      </c>
      <c r="I42" s="61">
        <v>212.74</v>
      </c>
      <c r="J42" s="61">
        <v>216.86</v>
      </c>
      <c r="K42" s="61">
        <v>335</v>
      </c>
      <c r="L42" s="61">
        <v>330.1</v>
      </c>
      <c r="M42" s="72">
        <v>224.12</v>
      </c>
      <c r="N42" s="72">
        <v>181.22</v>
      </c>
      <c r="O42" s="72">
        <v>278.85</v>
      </c>
      <c r="P42" s="71">
        <f t="shared" si="8"/>
        <v>0.808584686774942</v>
      </c>
      <c r="Q42" s="71">
        <f t="shared" si="7"/>
        <v>0.5387374461979915</v>
      </c>
    </row>
    <row r="43" spans="1:17" s="44" customFormat="1" ht="16.5" customHeight="1">
      <c r="A43" s="66"/>
      <c r="B43" s="66"/>
      <c r="C43" s="66"/>
      <c r="D43" s="66"/>
      <c r="E43" s="66"/>
      <c r="F43" s="66"/>
      <c r="G43" s="60" t="s">
        <v>200</v>
      </c>
      <c r="H43" s="61">
        <v>3453.48</v>
      </c>
      <c r="I43" s="61">
        <v>3821.32</v>
      </c>
      <c r="J43" s="61">
        <v>4149.76</v>
      </c>
      <c r="K43" s="61">
        <v>3994.87</v>
      </c>
      <c r="L43" s="61">
        <v>4461.31</v>
      </c>
      <c r="M43" s="72">
        <v>5828.27</v>
      </c>
      <c r="N43" s="72">
        <v>5925.54</v>
      </c>
      <c r="O43" s="72">
        <v>6540.53</v>
      </c>
      <c r="P43" s="71">
        <f t="shared" si="8"/>
        <v>1.016689343493009</v>
      </c>
      <c r="Q43" s="71">
        <f t="shared" si="7"/>
        <v>0.10378632158419321</v>
      </c>
    </row>
    <row r="44" spans="1:17" s="45" customFormat="1" ht="16.5" customHeight="1">
      <c r="A44" s="66"/>
      <c r="B44" s="66"/>
      <c r="C44" s="66"/>
      <c r="D44" s="66"/>
      <c r="E44" s="66"/>
      <c r="F44" s="66"/>
      <c r="G44" s="60" t="s">
        <v>201</v>
      </c>
      <c r="H44" s="61">
        <v>256.5</v>
      </c>
      <c r="I44" s="61">
        <v>223.47</v>
      </c>
      <c r="J44" s="61">
        <v>247</v>
      </c>
      <c r="K44" s="61">
        <v>99.68</v>
      </c>
      <c r="L44" s="61">
        <v>100</v>
      </c>
      <c r="M44" s="72">
        <v>0</v>
      </c>
      <c r="N44" s="72">
        <v>0</v>
      </c>
      <c r="O44" s="72">
        <v>42</v>
      </c>
      <c r="P44" s="72">
        <v>0</v>
      </c>
      <c r="Q44" s="72">
        <v>0</v>
      </c>
    </row>
    <row r="45" spans="1:17" s="45" customFormat="1" ht="16.5" customHeight="1">
      <c r="A45" s="66"/>
      <c r="B45" s="66"/>
      <c r="C45" s="66"/>
      <c r="D45" s="66"/>
      <c r="E45" s="66"/>
      <c r="F45" s="66"/>
      <c r="G45" s="60" t="s">
        <v>202</v>
      </c>
      <c r="H45" s="61">
        <v>0.5</v>
      </c>
      <c r="I45" s="61">
        <v>0.19</v>
      </c>
      <c r="J45" s="61">
        <v>0</v>
      </c>
      <c r="K45" s="61">
        <v>1</v>
      </c>
      <c r="L45" s="61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</row>
    <row r="46" spans="1:17" s="45" customFormat="1" ht="16.5" customHeight="1">
      <c r="A46" s="66"/>
      <c r="B46" s="66"/>
      <c r="C46" s="66"/>
      <c r="D46" s="66"/>
      <c r="E46" s="66"/>
      <c r="F46" s="66"/>
      <c r="G46" s="60" t="s">
        <v>203</v>
      </c>
      <c r="H46" s="61">
        <v>0</v>
      </c>
      <c r="I46" s="61">
        <v>1.44</v>
      </c>
      <c r="J46" s="61">
        <v>6</v>
      </c>
      <c r="K46" s="61">
        <v>7.98</v>
      </c>
      <c r="L46" s="61">
        <v>1.5</v>
      </c>
      <c r="M46" s="72">
        <v>0</v>
      </c>
      <c r="N46" s="72">
        <v>0</v>
      </c>
      <c r="O46" s="72">
        <v>4.6</v>
      </c>
      <c r="P46" s="72">
        <v>0</v>
      </c>
      <c r="Q46" s="72">
        <v>0</v>
      </c>
    </row>
    <row r="47" spans="1:17" s="45" customFormat="1" ht="16.5" customHeight="1">
      <c r="A47" s="66"/>
      <c r="B47" s="66"/>
      <c r="C47" s="66"/>
      <c r="D47" s="66"/>
      <c r="E47" s="66"/>
      <c r="F47" s="66"/>
      <c r="G47" s="60" t="s">
        <v>204</v>
      </c>
      <c r="H47" s="61">
        <v>55</v>
      </c>
      <c r="I47" s="61">
        <v>2.28</v>
      </c>
      <c r="J47" s="61">
        <v>15</v>
      </c>
      <c r="K47" s="61">
        <v>7.77</v>
      </c>
      <c r="L47" s="61">
        <v>1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</row>
    <row r="48" spans="1:17" s="45" customFormat="1" ht="16.5" customHeight="1">
      <c r="A48" s="66"/>
      <c r="B48" s="66"/>
      <c r="C48" s="66"/>
      <c r="D48" s="66"/>
      <c r="E48" s="66"/>
      <c r="F48" s="66"/>
      <c r="G48" s="60" t="s">
        <v>205</v>
      </c>
      <c r="H48" s="61">
        <v>135.13</v>
      </c>
      <c r="I48" s="61">
        <v>46.23</v>
      </c>
      <c r="J48" s="61">
        <v>0</v>
      </c>
      <c r="K48" s="61">
        <v>24.61</v>
      </c>
      <c r="L48" s="61">
        <v>26.65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</row>
    <row r="49" spans="1:17" s="45" customFormat="1" ht="16.5" customHeight="1">
      <c r="A49" s="66"/>
      <c r="B49" s="66"/>
      <c r="C49" s="66"/>
      <c r="D49" s="66"/>
      <c r="E49" s="66"/>
      <c r="F49" s="66"/>
      <c r="G49" s="68" t="s">
        <v>206</v>
      </c>
      <c r="H49" s="61">
        <v>1.5</v>
      </c>
      <c r="I49" s="61">
        <v>3.52</v>
      </c>
      <c r="J49" s="61">
        <v>84.9</v>
      </c>
      <c r="K49" s="61">
        <v>83.79</v>
      </c>
      <c r="L49" s="61">
        <v>13.01</v>
      </c>
      <c r="M49" s="72">
        <v>83.95</v>
      </c>
      <c r="N49" s="72">
        <v>83.87</v>
      </c>
      <c r="O49" s="72">
        <v>31.65</v>
      </c>
      <c r="P49" s="71">
        <f t="shared" si="8"/>
        <v>0.9990470518165575</v>
      </c>
      <c r="Q49" s="71">
        <f aca="true" t="shared" si="9" ref="Q44:Q56">O49/N49-1</f>
        <v>-0.6226302611183976</v>
      </c>
    </row>
    <row r="50" spans="1:17" s="45" customFormat="1" ht="16.5" customHeight="1">
      <c r="A50" s="67"/>
      <c r="B50" s="67"/>
      <c r="C50" s="67"/>
      <c r="D50" s="67"/>
      <c r="E50" s="67"/>
      <c r="F50" s="67"/>
      <c r="G50" s="56" t="s">
        <v>207</v>
      </c>
      <c r="H50" s="59">
        <v>22.5</v>
      </c>
      <c r="I50" s="59">
        <v>569.68</v>
      </c>
      <c r="J50" s="59">
        <v>104.53</v>
      </c>
      <c r="K50" s="59">
        <v>742.64</v>
      </c>
      <c r="L50" s="59">
        <f>SUM(L51:L55)</f>
        <v>606.6500000000001</v>
      </c>
      <c r="M50" s="70">
        <v>468.2</v>
      </c>
      <c r="N50" s="70">
        <f>SUM(N51:N55)</f>
        <v>346.35999999999996</v>
      </c>
      <c r="O50" s="70">
        <v>592.05</v>
      </c>
      <c r="P50" s="71">
        <f t="shared" si="8"/>
        <v>0.739769329346433</v>
      </c>
      <c r="Q50" s="71">
        <f t="shared" si="9"/>
        <v>0.7093486545790508</v>
      </c>
    </row>
    <row r="51" spans="1:17" s="45" customFormat="1" ht="16.5" customHeight="1">
      <c r="A51" s="67"/>
      <c r="B51" s="67"/>
      <c r="C51" s="67"/>
      <c r="D51" s="67"/>
      <c r="E51" s="67"/>
      <c r="F51" s="67"/>
      <c r="G51" s="60" t="s">
        <v>208</v>
      </c>
      <c r="H51" s="61">
        <v>0</v>
      </c>
      <c r="I51" s="59">
        <v>0</v>
      </c>
      <c r="J51" s="61">
        <v>0.2</v>
      </c>
      <c r="K51" s="61">
        <v>2.2</v>
      </c>
      <c r="L51" s="61">
        <v>4.05</v>
      </c>
      <c r="M51" s="72">
        <v>29.32</v>
      </c>
      <c r="N51" s="72">
        <v>17.06</v>
      </c>
      <c r="O51" s="72">
        <v>7.42</v>
      </c>
      <c r="P51" s="71">
        <f t="shared" si="8"/>
        <v>0.5818553888130968</v>
      </c>
      <c r="Q51" s="71">
        <f t="shared" si="9"/>
        <v>-0.5650644783118406</v>
      </c>
    </row>
    <row r="52" spans="1:17" s="44" customFormat="1" ht="16.5" customHeight="1">
      <c r="A52" s="66"/>
      <c r="B52" s="66"/>
      <c r="C52" s="66"/>
      <c r="D52" s="66"/>
      <c r="E52" s="66"/>
      <c r="F52" s="66"/>
      <c r="G52" s="60" t="s">
        <v>209</v>
      </c>
      <c r="H52" s="61">
        <v>5</v>
      </c>
      <c r="I52" s="61">
        <v>553.49</v>
      </c>
      <c r="J52" s="61">
        <v>94.33</v>
      </c>
      <c r="K52" s="61">
        <v>226.7</v>
      </c>
      <c r="L52" s="61">
        <v>126.94</v>
      </c>
      <c r="M52" s="72">
        <v>1.2</v>
      </c>
      <c r="N52" s="72">
        <v>0.9</v>
      </c>
      <c r="O52" s="72">
        <v>0</v>
      </c>
      <c r="P52" s="71">
        <f t="shared" si="8"/>
        <v>0.75</v>
      </c>
      <c r="Q52" s="71">
        <f t="shared" si="9"/>
        <v>-1</v>
      </c>
    </row>
    <row r="53" spans="1:17" s="44" customFormat="1" ht="16.5" customHeight="1">
      <c r="A53" s="66"/>
      <c r="B53" s="66"/>
      <c r="C53" s="66"/>
      <c r="D53" s="66"/>
      <c r="E53" s="66"/>
      <c r="F53" s="66"/>
      <c r="G53" s="60" t="s">
        <v>210</v>
      </c>
      <c r="H53" s="61">
        <v>0</v>
      </c>
      <c r="I53" s="59">
        <v>0</v>
      </c>
      <c r="J53" s="61">
        <v>2</v>
      </c>
      <c r="K53" s="61">
        <v>1.5</v>
      </c>
      <c r="L53" s="61">
        <v>0</v>
      </c>
      <c r="M53" s="72">
        <v>3</v>
      </c>
      <c r="N53" s="72">
        <v>3</v>
      </c>
      <c r="O53" s="72">
        <v>0</v>
      </c>
      <c r="P53" s="71">
        <f t="shared" si="8"/>
        <v>1</v>
      </c>
      <c r="Q53" s="71">
        <f t="shared" si="9"/>
        <v>-1</v>
      </c>
    </row>
    <row r="54" spans="1:17" s="45" customFormat="1" ht="16.5" customHeight="1">
      <c r="A54" s="66"/>
      <c r="B54" s="66"/>
      <c r="C54" s="66"/>
      <c r="D54" s="66"/>
      <c r="E54" s="66"/>
      <c r="F54" s="66"/>
      <c r="G54" s="60" t="s">
        <v>211</v>
      </c>
      <c r="H54" s="61"/>
      <c r="I54" s="59"/>
      <c r="J54" s="61">
        <v>0</v>
      </c>
      <c r="K54" s="61">
        <v>5.61</v>
      </c>
      <c r="L54" s="61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</row>
    <row r="55" spans="1:17" s="45" customFormat="1" ht="16.5" customHeight="1">
      <c r="A55" s="66"/>
      <c r="B55" s="66"/>
      <c r="C55" s="66"/>
      <c r="D55" s="66"/>
      <c r="E55" s="66"/>
      <c r="F55" s="66"/>
      <c r="G55" s="60" t="s">
        <v>212</v>
      </c>
      <c r="H55" s="61">
        <v>17.5</v>
      </c>
      <c r="I55" s="61">
        <v>16.19</v>
      </c>
      <c r="J55" s="61">
        <v>8</v>
      </c>
      <c r="K55" s="61">
        <v>506.63</v>
      </c>
      <c r="L55" s="61">
        <v>475.66</v>
      </c>
      <c r="M55" s="72">
        <v>434.68</v>
      </c>
      <c r="N55" s="72">
        <v>325.4</v>
      </c>
      <c r="O55" s="72">
        <v>584.63</v>
      </c>
      <c r="P55" s="71">
        <f t="shared" si="8"/>
        <v>0.74859666881384</v>
      </c>
      <c r="Q55" s="71">
        <f t="shared" si="9"/>
        <v>0.7966502765826675</v>
      </c>
    </row>
    <row r="56" spans="1:17" s="45" customFormat="1" ht="16.5" customHeight="1">
      <c r="A56" s="67"/>
      <c r="B56" s="67"/>
      <c r="C56" s="67"/>
      <c r="D56" s="67"/>
      <c r="E56" s="67"/>
      <c r="F56" s="67"/>
      <c r="G56" s="56" t="s">
        <v>213</v>
      </c>
      <c r="H56" s="59">
        <v>181.75</v>
      </c>
      <c r="I56" s="59">
        <v>279.6</v>
      </c>
      <c r="J56" s="59">
        <v>187.86</v>
      </c>
      <c r="K56" s="59">
        <v>310.4</v>
      </c>
      <c r="L56" s="59">
        <f>SUM(L57:L62)</f>
        <v>274.07</v>
      </c>
      <c r="M56" s="70">
        <v>393.68</v>
      </c>
      <c r="N56" s="70">
        <f>SUM(N57:N62)</f>
        <v>365.71</v>
      </c>
      <c r="O56" s="70">
        <v>810.51</v>
      </c>
      <c r="P56" s="71">
        <f t="shared" si="8"/>
        <v>0.9289524486892907</v>
      </c>
      <c r="Q56" s="71">
        <f aca="true" t="shared" si="10" ref="Q56:Q60">O56/N56-1</f>
        <v>1.2162642530967163</v>
      </c>
    </row>
    <row r="57" spans="1:17" s="45" customFormat="1" ht="16.5" customHeight="1">
      <c r="A57" s="66"/>
      <c r="B57" s="66"/>
      <c r="C57" s="66"/>
      <c r="D57" s="66"/>
      <c r="E57" s="66"/>
      <c r="F57" s="66"/>
      <c r="G57" s="60" t="s">
        <v>214</v>
      </c>
      <c r="H57" s="61">
        <v>98.8</v>
      </c>
      <c r="I57" s="61">
        <v>119.78</v>
      </c>
      <c r="J57" s="61">
        <v>101.23</v>
      </c>
      <c r="K57" s="61">
        <v>212.39</v>
      </c>
      <c r="L57" s="61">
        <v>197.57</v>
      </c>
      <c r="M57" s="72">
        <v>281.39</v>
      </c>
      <c r="N57" s="72">
        <v>275.32</v>
      </c>
      <c r="O57" s="72">
        <v>702.14</v>
      </c>
      <c r="P57" s="71">
        <f t="shared" si="8"/>
        <v>0.9784285155833541</v>
      </c>
      <c r="Q57" s="71">
        <f t="shared" si="10"/>
        <v>1.550268778149063</v>
      </c>
    </row>
    <row r="58" spans="1:17" s="44" customFormat="1" ht="16.5" customHeight="1">
      <c r="A58" s="66"/>
      <c r="B58" s="66"/>
      <c r="C58" s="66"/>
      <c r="D58" s="66"/>
      <c r="E58" s="66"/>
      <c r="F58" s="66"/>
      <c r="G58" s="60" t="s">
        <v>215</v>
      </c>
      <c r="H58" s="61">
        <v>0</v>
      </c>
      <c r="I58" s="61">
        <v>0</v>
      </c>
      <c r="J58" s="61">
        <v>0.2</v>
      </c>
      <c r="K58" s="61">
        <v>0.04</v>
      </c>
      <c r="L58" s="61">
        <v>0.2</v>
      </c>
      <c r="M58" s="72">
        <v>0</v>
      </c>
      <c r="N58" s="72">
        <v>0</v>
      </c>
      <c r="O58" s="72">
        <v>0.2</v>
      </c>
      <c r="P58" s="72">
        <v>0</v>
      </c>
      <c r="Q58" s="72">
        <v>0</v>
      </c>
    </row>
    <row r="59" spans="1:17" s="45" customFormat="1" ht="16.5" customHeight="1">
      <c r="A59" s="66"/>
      <c r="B59" s="66"/>
      <c r="C59" s="66"/>
      <c r="D59" s="66"/>
      <c r="E59" s="66"/>
      <c r="F59" s="66"/>
      <c r="G59" s="60" t="s">
        <v>216</v>
      </c>
      <c r="H59" s="61">
        <v>60.35</v>
      </c>
      <c r="I59" s="61">
        <v>87.15</v>
      </c>
      <c r="J59" s="61">
        <v>59.15</v>
      </c>
      <c r="K59" s="61">
        <v>60.37</v>
      </c>
      <c r="L59" s="61">
        <v>57.03</v>
      </c>
      <c r="M59" s="72">
        <v>34.73</v>
      </c>
      <c r="N59" s="72">
        <v>30.7</v>
      </c>
      <c r="O59" s="72">
        <v>36.1</v>
      </c>
      <c r="P59" s="71">
        <f t="shared" si="8"/>
        <v>0.883961992513677</v>
      </c>
      <c r="Q59" s="71">
        <f t="shared" si="10"/>
        <v>0.17589576547231278</v>
      </c>
    </row>
    <row r="60" spans="1:17" s="45" customFormat="1" ht="16.5" customHeight="1">
      <c r="A60" s="66"/>
      <c r="B60" s="66"/>
      <c r="C60" s="66"/>
      <c r="D60" s="66"/>
      <c r="E60" s="66"/>
      <c r="F60" s="66"/>
      <c r="G60" s="60" t="s">
        <v>217</v>
      </c>
      <c r="H60" s="61">
        <v>5.75</v>
      </c>
      <c r="I60" s="61">
        <v>5.39</v>
      </c>
      <c r="J60" s="61">
        <v>4.95</v>
      </c>
      <c r="K60" s="61">
        <v>4.74</v>
      </c>
      <c r="L60" s="61">
        <v>6.39</v>
      </c>
      <c r="M60" s="72">
        <v>5.48</v>
      </c>
      <c r="N60" s="72">
        <v>5.27</v>
      </c>
      <c r="O60" s="72">
        <v>0</v>
      </c>
      <c r="P60" s="71">
        <f t="shared" si="8"/>
        <v>0.9616788321167882</v>
      </c>
      <c r="Q60" s="71">
        <f t="shared" si="10"/>
        <v>-1</v>
      </c>
    </row>
    <row r="61" spans="1:17" s="45" customFormat="1" ht="16.5" customHeight="1">
      <c r="A61" s="66"/>
      <c r="B61" s="66"/>
      <c r="C61" s="66"/>
      <c r="D61" s="66"/>
      <c r="E61" s="66"/>
      <c r="F61" s="66"/>
      <c r="G61" s="60" t="s">
        <v>218</v>
      </c>
      <c r="H61" s="61"/>
      <c r="I61" s="61"/>
      <c r="J61" s="61"/>
      <c r="K61" s="61"/>
      <c r="L61" s="61"/>
      <c r="M61" s="72">
        <v>0</v>
      </c>
      <c r="N61" s="72">
        <v>0</v>
      </c>
      <c r="O61" s="72">
        <v>3.93</v>
      </c>
      <c r="P61" s="72">
        <v>0</v>
      </c>
      <c r="Q61" s="72">
        <v>0</v>
      </c>
    </row>
    <row r="62" spans="1:17" s="45" customFormat="1" ht="16.5" customHeight="1">
      <c r="A62" s="66"/>
      <c r="B62" s="66"/>
      <c r="C62" s="66"/>
      <c r="D62" s="66"/>
      <c r="E62" s="66"/>
      <c r="F62" s="66"/>
      <c r="G62" s="60" t="s">
        <v>219</v>
      </c>
      <c r="H62" s="61">
        <v>16.85</v>
      </c>
      <c r="I62" s="61">
        <v>67.28</v>
      </c>
      <c r="J62" s="61">
        <v>22.33</v>
      </c>
      <c r="K62" s="61">
        <v>32.86</v>
      </c>
      <c r="L62" s="61">
        <v>12.88</v>
      </c>
      <c r="M62" s="72">
        <v>72.08</v>
      </c>
      <c r="N62" s="72">
        <v>54.42</v>
      </c>
      <c r="O62" s="72">
        <v>68.14</v>
      </c>
      <c r="P62" s="71">
        <f t="shared" si="8"/>
        <v>0.7549944506104329</v>
      </c>
      <c r="Q62" s="71">
        <f aca="true" t="shared" si="11" ref="Q62:Q65">O62/N62-1</f>
        <v>0.2521131936787946</v>
      </c>
    </row>
    <row r="63" spans="1:17" s="45" customFormat="1" ht="16.5" customHeight="1">
      <c r="A63" s="67"/>
      <c r="B63" s="67"/>
      <c r="C63" s="67"/>
      <c r="D63" s="67"/>
      <c r="E63" s="67"/>
      <c r="F63" s="67"/>
      <c r="G63" s="56" t="s">
        <v>220</v>
      </c>
      <c r="H63" s="59">
        <v>2498.45</v>
      </c>
      <c r="I63" s="59">
        <v>1481.79</v>
      </c>
      <c r="J63" s="59">
        <v>2277.25</v>
      </c>
      <c r="K63" s="59">
        <v>2375.86</v>
      </c>
      <c r="L63" s="59">
        <f>SUM(L64:L79)</f>
        <v>2864.050000000001</v>
      </c>
      <c r="M63" s="70">
        <v>3266.42</v>
      </c>
      <c r="N63" s="70">
        <f>SUM(N64:N79)</f>
        <v>3004.8800000000006</v>
      </c>
      <c r="O63" s="70">
        <v>2514.46</v>
      </c>
      <c r="P63" s="71">
        <f t="shared" si="8"/>
        <v>0.9199306886438365</v>
      </c>
      <c r="Q63" s="71">
        <f t="shared" si="11"/>
        <v>-0.1632078485663322</v>
      </c>
    </row>
    <row r="64" spans="1:17" s="45" customFormat="1" ht="16.5" customHeight="1">
      <c r="A64" s="66"/>
      <c r="B64" s="66"/>
      <c r="C64" s="66"/>
      <c r="D64" s="66"/>
      <c r="E64" s="66"/>
      <c r="F64" s="66"/>
      <c r="G64" s="60" t="s">
        <v>221</v>
      </c>
      <c r="H64" s="61">
        <v>593.17</v>
      </c>
      <c r="I64" s="61">
        <v>361.88</v>
      </c>
      <c r="J64" s="61">
        <v>147.92</v>
      </c>
      <c r="K64" s="61">
        <v>285.57</v>
      </c>
      <c r="L64" s="61">
        <v>405.4</v>
      </c>
      <c r="M64" s="72">
        <v>866.48</v>
      </c>
      <c r="N64" s="72">
        <v>756.94</v>
      </c>
      <c r="O64" s="72">
        <v>792.84</v>
      </c>
      <c r="P64" s="71">
        <f t="shared" si="8"/>
        <v>0.8735804634844428</v>
      </c>
      <c r="Q64" s="71">
        <f t="shared" si="11"/>
        <v>0.04742780141094394</v>
      </c>
    </row>
    <row r="65" spans="1:17" s="44" customFormat="1" ht="16.5" customHeight="1">
      <c r="A65" s="66"/>
      <c r="B65" s="66"/>
      <c r="C65" s="66"/>
      <c r="D65" s="66"/>
      <c r="E65" s="66"/>
      <c r="F65" s="66"/>
      <c r="G65" s="60" t="s">
        <v>222</v>
      </c>
      <c r="H65" s="61">
        <v>167.75</v>
      </c>
      <c r="I65" s="61">
        <v>176.02</v>
      </c>
      <c r="J65" s="61">
        <v>172.98</v>
      </c>
      <c r="K65" s="61">
        <v>167.02</v>
      </c>
      <c r="L65" s="61">
        <v>173.75</v>
      </c>
      <c r="M65" s="72">
        <v>61.58</v>
      </c>
      <c r="N65" s="72">
        <v>63.06</v>
      </c>
      <c r="O65" s="72">
        <v>132.28</v>
      </c>
      <c r="P65" s="71">
        <f t="shared" si="8"/>
        <v>1.0240337772003898</v>
      </c>
      <c r="Q65" s="71">
        <f t="shared" si="11"/>
        <v>1.0976847446875992</v>
      </c>
    </row>
    <row r="66" spans="1:17" s="45" customFormat="1" ht="16.5" customHeight="1">
      <c r="A66" s="66"/>
      <c r="B66" s="66"/>
      <c r="C66" s="66"/>
      <c r="D66" s="66"/>
      <c r="E66" s="66"/>
      <c r="F66" s="66"/>
      <c r="G66" s="60" t="s">
        <v>223</v>
      </c>
      <c r="H66" s="61">
        <v>559.49</v>
      </c>
      <c r="I66" s="61">
        <v>52.78</v>
      </c>
      <c r="J66" s="61">
        <v>736.16</v>
      </c>
      <c r="K66" s="61">
        <v>657.73</v>
      </c>
      <c r="L66" s="61">
        <v>964.07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</row>
    <row r="67" spans="1:17" s="45" customFormat="1" ht="16.5" customHeight="1">
      <c r="A67" s="66"/>
      <c r="B67" s="66"/>
      <c r="C67" s="66"/>
      <c r="D67" s="66"/>
      <c r="E67" s="66"/>
      <c r="F67" s="66"/>
      <c r="G67" s="60" t="s">
        <v>224</v>
      </c>
      <c r="H67" s="61">
        <v>364.61</v>
      </c>
      <c r="I67" s="61">
        <v>328.92</v>
      </c>
      <c r="J67" s="61">
        <v>401.1</v>
      </c>
      <c r="K67" s="61">
        <v>383.39</v>
      </c>
      <c r="L67" s="61">
        <v>423.09</v>
      </c>
      <c r="M67" s="72">
        <v>177.26</v>
      </c>
      <c r="N67" s="72">
        <v>170.13</v>
      </c>
      <c r="O67" s="72">
        <v>90.49</v>
      </c>
      <c r="P67" s="71">
        <f t="shared" si="8"/>
        <v>0.9597765993455941</v>
      </c>
      <c r="Q67" s="71">
        <f aca="true" t="shared" si="12" ref="Q67:Q70">O67/N67-1</f>
        <v>-0.468112619761359</v>
      </c>
    </row>
    <row r="68" spans="1:17" s="45" customFormat="1" ht="16.5" customHeight="1">
      <c r="A68" s="66"/>
      <c r="B68" s="66"/>
      <c r="C68" s="66"/>
      <c r="D68" s="66"/>
      <c r="E68" s="66"/>
      <c r="F68" s="66"/>
      <c r="G68" s="60" t="s">
        <v>225</v>
      </c>
      <c r="H68" s="61">
        <v>27.13</v>
      </c>
      <c r="I68" s="61">
        <v>55.25</v>
      </c>
      <c r="J68" s="61">
        <v>127.68</v>
      </c>
      <c r="K68" s="61">
        <v>90.34</v>
      </c>
      <c r="L68" s="61">
        <v>85.12</v>
      </c>
      <c r="M68" s="72">
        <v>65.42</v>
      </c>
      <c r="N68" s="72">
        <v>53.16</v>
      </c>
      <c r="O68" s="72">
        <v>50.08</v>
      </c>
      <c r="P68" s="71">
        <f t="shared" si="8"/>
        <v>0.8125955365331702</v>
      </c>
      <c r="Q68" s="71">
        <f t="shared" si="12"/>
        <v>-0.05793829947328821</v>
      </c>
    </row>
    <row r="69" spans="1:17" s="45" customFormat="1" ht="16.5" customHeight="1">
      <c r="A69" s="66"/>
      <c r="B69" s="66"/>
      <c r="C69" s="66"/>
      <c r="D69" s="66"/>
      <c r="E69" s="66"/>
      <c r="F69" s="66"/>
      <c r="G69" s="60" t="s">
        <v>226</v>
      </c>
      <c r="H69" s="61">
        <v>4.29</v>
      </c>
      <c r="I69" s="61">
        <v>1.14</v>
      </c>
      <c r="J69" s="61">
        <v>0.42</v>
      </c>
      <c r="K69" s="61">
        <v>0.42</v>
      </c>
      <c r="L69" s="61">
        <v>0.55</v>
      </c>
      <c r="M69" s="72">
        <v>261.8</v>
      </c>
      <c r="N69" s="72">
        <v>264.86</v>
      </c>
      <c r="O69" s="72">
        <v>152.6</v>
      </c>
      <c r="P69" s="71">
        <f t="shared" si="8"/>
        <v>1.0116883116883117</v>
      </c>
      <c r="Q69" s="71">
        <f t="shared" si="12"/>
        <v>-0.4238465604470286</v>
      </c>
    </row>
    <row r="70" spans="1:17" s="45" customFormat="1" ht="16.5" customHeight="1">
      <c r="A70" s="66"/>
      <c r="B70" s="66"/>
      <c r="C70" s="66"/>
      <c r="D70" s="66"/>
      <c r="E70" s="66"/>
      <c r="F70" s="66"/>
      <c r="G70" s="60" t="s">
        <v>227</v>
      </c>
      <c r="H70" s="61">
        <v>43.9</v>
      </c>
      <c r="I70" s="61">
        <v>37.9</v>
      </c>
      <c r="J70" s="61">
        <v>30.6</v>
      </c>
      <c r="K70" s="61">
        <v>36.41</v>
      </c>
      <c r="L70" s="61">
        <v>39.61</v>
      </c>
      <c r="M70" s="72">
        <v>55.69</v>
      </c>
      <c r="N70" s="72">
        <v>55.25</v>
      </c>
      <c r="O70" s="72">
        <v>63.6</v>
      </c>
      <c r="P70" s="71">
        <f t="shared" si="8"/>
        <v>0.9920991201292871</v>
      </c>
      <c r="Q70" s="71">
        <f t="shared" si="12"/>
        <v>0.15113122171945714</v>
      </c>
    </row>
    <row r="71" spans="1:17" s="45" customFormat="1" ht="16.5" customHeight="1">
      <c r="A71" s="66"/>
      <c r="B71" s="66"/>
      <c r="C71" s="66"/>
      <c r="D71" s="66"/>
      <c r="E71" s="66"/>
      <c r="F71" s="66"/>
      <c r="G71" s="60" t="s">
        <v>228</v>
      </c>
      <c r="H71" s="61">
        <v>369.06</v>
      </c>
      <c r="I71" s="61">
        <v>291.78</v>
      </c>
      <c r="J71" s="61">
        <v>336.46</v>
      </c>
      <c r="K71" s="61">
        <v>313.06</v>
      </c>
      <c r="L71" s="61">
        <v>355.51</v>
      </c>
      <c r="M71" s="72">
        <v>280.41</v>
      </c>
      <c r="N71" s="72">
        <v>227.24</v>
      </c>
      <c r="O71" s="72">
        <v>284.58</v>
      </c>
      <c r="P71" s="71">
        <f aca="true" t="shared" si="13" ref="P71:P102">N71/M71</f>
        <v>0.8103847936949466</v>
      </c>
      <c r="Q71" s="71">
        <f aca="true" t="shared" si="14" ref="Q71:Q84">O71/N71-1</f>
        <v>0.25233233585636317</v>
      </c>
    </row>
    <row r="72" spans="1:17" s="45" customFormat="1" ht="16.5" customHeight="1">
      <c r="A72" s="66"/>
      <c r="B72" s="66"/>
      <c r="C72" s="66"/>
      <c r="D72" s="66"/>
      <c r="E72" s="66"/>
      <c r="F72" s="66"/>
      <c r="G72" s="60" t="s">
        <v>229</v>
      </c>
      <c r="H72" s="61">
        <v>102.89</v>
      </c>
      <c r="I72" s="61">
        <v>91.83</v>
      </c>
      <c r="J72" s="61">
        <v>117.89</v>
      </c>
      <c r="K72" s="61">
        <v>88.37</v>
      </c>
      <c r="L72" s="61">
        <v>137.98</v>
      </c>
      <c r="M72" s="72">
        <v>180.96</v>
      </c>
      <c r="N72" s="72">
        <v>171.84</v>
      </c>
      <c r="O72" s="72">
        <f>168.49-0.01</f>
        <v>168.48000000000002</v>
      </c>
      <c r="P72" s="71">
        <f t="shared" si="13"/>
        <v>0.9496021220159151</v>
      </c>
      <c r="Q72" s="71">
        <f t="shared" si="14"/>
        <v>-0.019553072625698276</v>
      </c>
    </row>
    <row r="73" spans="1:17" s="45" customFormat="1" ht="16.5" customHeight="1">
      <c r="A73" s="66"/>
      <c r="B73" s="66"/>
      <c r="C73" s="66"/>
      <c r="D73" s="66"/>
      <c r="E73" s="66"/>
      <c r="F73" s="66"/>
      <c r="G73" s="60" t="s">
        <v>230</v>
      </c>
      <c r="H73" s="61">
        <v>18.8</v>
      </c>
      <c r="I73" s="61">
        <v>15.43</v>
      </c>
      <c r="J73" s="61">
        <v>10.8</v>
      </c>
      <c r="K73" s="61">
        <v>10.75</v>
      </c>
      <c r="L73" s="61">
        <v>15.76</v>
      </c>
      <c r="M73" s="72">
        <v>16.6</v>
      </c>
      <c r="N73" s="72">
        <v>16.13</v>
      </c>
      <c r="O73" s="72">
        <v>58.22</v>
      </c>
      <c r="P73" s="71">
        <f t="shared" si="13"/>
        <v>0.9716867469879517</v>
      </c>
      <c r="Q73" s="71">
        <f t="shared" si="14"/>
        <v>2.6094234345939245</v>
      </c>
    </row>
    <row r="74" spans="1:17" s="45" customFormat="1" ht="16.5" customHeight="1">
      <c r="A74" s="66"/>
      <c r="B74" s="66"/>
      <c r="C74" s="66"/>
      <c r="D74" s="66"/>
      <c r="E74" s="66"/>
      <c r="F74" s="66"/>
      <c r="G74" s="60" t="s">
        <v>231</v>
      </c>
      <c r="H74" s="61"/>
      <c r="I74" s="61"/>
      <c r="J74" s="61"/>
      <c r="K74" s="61"/>
      <c r="L74" s="61"/>
      <c r="M74" s="72">
        <v>90</v>
      </c>
      <c r="N74" s="72">
        <v>90</v>
      </c>
      <c r="O74" s="72">
        <v>0</v>
      </c>
      <c r="P74" s="71">
        <f t="shared" si="13"/>
        <v>1</v>
      </c>
      <c r="Q74" s="71">
        <f t="shared" si="14"/>
        <v>-1</v>
      </c>
    </row>
    <row r="75" spans="1:17" s="45" customFormat="1" ht="16.5" customHeight="1">
      <c r="A75" s="66"/>
      <c r="B75" s="66"/>
      <c r="C75" s="66"/>
      <c r="D75" s="66"/>
      <c r="E75" s="66"/>
      <c r="F75" s="66"/>
      <c r="G75" s="60" t="s">
        <v>232</v>
      </c>
      <c r="H75" s="61">
        <v>69.25</v>
      </c>
      <c r="I75" s="61">
        <v>37.18</v>
      </c>
      <c r="J75" s="61">
        <v>12</v>
      </c>
      <c r="K75" s="61">
        <v>17.37</v>
      </c>
      <c r="L75" s="61">
        <v>41.11</v>
      </c>
      <c r="M75" s="72">
        <v>204.24</v>
      </c>
      <c r="N75" s="72">
        <v>172.15</v>
      </c>
      <c r="O75" s="72">
        <v>196.63</v>
      </c>
      <c r="P75" s="71">
        <f t="shared" si="13"/>
        <v>0.8428809244026635</v>
      </c>
      <c r="Q75" s="71">
        <f t="shared" si="14"/>
        <v>0.14220156839965137</v>
      </c>
    </row>
    <row r="76" spans="1:17" s="45" customFormat="1" ht="16.5" customHeight="1">
      <c r="A76" s="66"/>
      <c r="B76" s="66"/>
      <c r="C76" s="66"/>
      <c r="D76" s="66"/>
      <c r="E76" s="66"/>
      <c r="F76" s="66"/>
      <c r="G76" s="60" t="s">
        <v>233</v>
      </c>
      <c r="H76" s="61">
        <v>0</v>
      </c>
      <c r="I76" s="61">
        <v>1.79</v>
      </c>
      <c r="J76" s="61">
        <v>14.52</v>
      </c>
      <c r="K76" s="61">
        <v>16.84</v>
      </c>
      <c r="L76" s="61">
        <v>47.98</v>
      </c>
      <c r="M76" s="72">
        <v>15</v>
      </c>
      <c r="N76" s="72">
        <v>11.66</v>
      </c>
      <c r="O76" s="72">
        <v>31.68</v>
      </c>
      <c r="P76" s="71">
        <f t="shared" si="13"/>
        <v>0.7773333333333333</v>
      </c>
      <c r="Q76" s="71">
        <f t="shared" si="14"/>
        <v>1.7169811320754715</v>
      </c>
    </row>
    <row r="77" spans="1:17" s="45" customFormat="1" ht="16.5" customHeight="1">
      <c r="A77" s="66"/>
      <c r="B77" s="66"/>
      <c r="C77" s="66"/>
      <c r="D77" s="66"/>
      <c r="E77" s="66"/>
      <c r="F77" s="66"/>
      <c r="G77" s="60" t="s">
        <v>234</v>
      </c>
      <c r="H77" s="61">
        <v>19.8</v>
      </c>
      <c r="I77" s="61">
        <v>18.35</v>
      </c>
      <c r="J77" s="61">
        <v>19.73</v>
      </c>
      <c r="K77" s="61">
        <v>17.23</v>
      </c>
      <c r="L77" s="61">
        <v>21.63</v>
      </c>
      <c r="M77" s="72">
        <v>3</v>
      </c>
      <c r="N77" s="72">
        <v>2.61</v>
      </c>
      <c r="O77" s="72">
        <v>0</v>
      </c>
      <c r="P77" s="71">
        <f t="shared" si="13"/>
        <v>0.87</v>
      </c>
      <c r="Q77" s="71">
        <f t="shared" si="14"/>
        <v>-1</v>
      </c>
    </row>
    <row r="78" spans="1:17" s="45" customFormat="1" ht="16.5" customHeight="1">
      <c r="A78" s="66"/>
      <c r="B78" s="66"/>
      <c r="C78" s="66"/>
      <c r="D78" s="66"/>
      <c r="E78" s="66"/>
      <c r="F78" s="66"/>
      <c r="G78" s="68" t="s">
        <v>235</v>
      </c>
      <c r="H78" s="61">
        <v>0</v>
      </c>
      <c r="I78" s="61">
        <v>7.75</v>
      </c>
      <c r="J78" s="61">
        <v>2.5</v>
      </c>
      <c r="K78" s="61">
        <v>2.14</v>
      </c>
      <c r="L78" s="61">
        <v>5</v>
      </c>
      <c r="M78" s="72">
        <v>845.67</v>
      </c>
      <c r="N78" s="72">
        <v>808.03</v>
      </c>
      <c r="O78" s="72">
        <v>332.54</v>
      </c>
      <c r="P78" s="71">
        <f t="shared" si="13"/>
        <v>0.9554909125308927</v>
      </c>
      <c r="Q78" s="71">
        <f t="shared" si="14"/>
        <v>-0.588455874163088</v>
      </c>
    </row>
    <row r="79" spans="1:17" s="45" customFormat="1" ht="16.5" customHeight="1">
      <c r="A79" s="66"/>
      <c r="B79" s="66"/>
      <c r="C79" s="66"/>
      <c r="D79" s="66"/>
      <c r="E79" s="66"/>
      <c r="F79" s="66"/>
      <c r="G79" s="60" t="s">
        <v>236</v>
      </c>
      <c r="H79" s="61">
        <v>149.08</v>
      </c>
      <c r="I79" s="61">
        <v>3.79</v>
      </c>
      <c r="J79" s="61">
        <v>146.49</v>
      </c>
      <c r="K79" s="61">
        <v>289.22</v>
      </c>
      <c r="L79" s="61">
        <v>147.49</v>
      </c>
      <c r="M79" s="72">
        <v>142.31</v>
      </c>
      <c r="N79" s="72">
        <v>141.82</v>
      </c>
      <c r="O79" s="72">
        <v>160.44</v>
      </c>
      <c r="P79" s="71">
        <f t="shared" si="13"/>
        <v>0.9965568125922282</v>
      </c>
      <c r="Q79" s="71">
        <f t="shared" si="14"/>
        <v>0.13129318854886485</v>
      </c>
    </row>
    <row r="80" spans="1:17" s="45" customFormat="1" ht="16.5" customHeight="1">
      <c r="A80" s="67"/>
      <c r="B80" s="67"/>
      <c r="C80" s="67"/>
      <c r="D80" s="67"/>
      <c r="E80" s="67"/>
      <c r="F80" s="67"/>
      <c r="G80" s="56" t="s">
        <v>237</v>
      </c>
      <c r="H80" s="59">
        <v>5489.32</v>
      </c>
      <c r="I80" s="59">
        <v>4883.39</v>
      </c>
      <c r="J80" s="59">
        <v>5690.67</v>
      </c>
      <c r="K80" s="59">
        <v>4232.35</v>
      </c>
      <c r="L80" s="59">
        <f>SUM(L81:L91)+0.01</f>
        <v>5318.58</v>
      </c>
      <c r="M80" s="70">
        <v>1601.14</v>
      </c>
      <c r="N80" s="70">
        <f>SUM(N81:N91)</f>
        <v>1648.95</v>
      </c>
      <c r="O80" s="70">
        <v>1971.15</v>
      </c>
      <c r="P80" s="71">
        <f t="shared" si="13"/>
        <v>1.0298599747679777</v>
      </c>
      <c r="Q80" s="71">
        <f t="shared" si="14"/>
        <v>0.19539707086327662</v>
      </c>
    </row>
    <row r="81" spans="1:17" s="45" customFormat="1" ht="16.5" customHeight="1">
      <c r="A81" s="66"/>
      <c r="B81" s="66"/>
      <c r="C81" s="66"/>
      <c r="D81" s="66"/>
      <c r="E81" s="66"/>
      <c r="F81" s="66"/>
      <c r="G81" s="68" t="s">
        <v>238</v>
      </c>
      <c r="H81" s="61">
        <v>33</v>
      </c>
      <c r="I81" s="61">
        <v>31.52</v>
      </c>
      <c r="J81" s="61">
        <v>113.48</v>
      </c>
      <c r="K81" s="61">
        <v>109.91</v>
      </c>
      <c r="L81" s="61">
        <v>171.16</v>
      </c>
      <c r="M81" s="72">
        <v>123.67</v>
      </c>
      <c r="N81" s="72">
        <v>122.95</v>
      </c>
      <c r="O81" s="72">
        <v>53.14</v>
      </c>
      <c r="P81" s="71">
        <f t="shared" si="13"/>
        <v>0.9941780544998787</v>
      </c>
      <c r="Q81" s="71">
        <f t="shared" si="14"/>
        <v>-0.5677917852785686</v>
      </c>
    </row>
    <row r="82" spans="1:17" s="44" customFormat="1" ht="16.5" customHeight="1">
      <c r="A82" s="66"/>
      <c r="B82" s="66"/>
      <c r="C82" s="66"/>
      <c r="D82" s="66"/>
      <c r="E82" s="66"/>
      <c r="F82" s="66"/>
      <c r="G82" s="60" t="s">
        <v>239</v>
      </c>
      <c r="H82" s="61"/>
      <c r="I82" s="61"/>
      <c r="J82" s="61"/>
      <c r="K82" s="61"/>
      <c r="L82" s="61">
        <v>0</v>
      </c>
      <c r="M82" s="72">
        <v>6.1</v>
      </c>
      <c r="N82" s="72">
        <v>6.1</v>
      </c>
      <c r="O82" s="72">
        <v>0</v>
      </c>
      <c r="P82" s="71">
        <f t="shared" si="13"/>
        <v>1</v>
      </c>
      <c r="Q82" s="71">
        <f t="shared" si="14"/>
        <v>-1</v>
      </c>
    </row>
    <row r="83" spans="1:17" s="45" customFormat="1" ht="16.5" customHeight="1">
      <c r="A83" s="66"/>
      <c r="B83" s="66"/>
      <c r="C83" s="66"/>
      <c r="D83" s="66"/>
      <c r="E83" s="66"/>
      <c r="F83" s="66"/>
      <c r="G83" s="60" t="s">
        <v>240</v>
      </c>
      <c r="H83" s="61">
        <v>4411.71</v>
      </c>
      <c r="I83" s="61">
        <v>3819</v>
      </c>
      <c r="J83" s="61">
        <v>4515.06</v>
      </c>
      <c r="K83" s="61">
        <v>3302.66</v>
      </c>
      <c r="L83" s="61">
        <v>4425.36</v>
      </c>
      <c r="M83" s="72">
        <v>755.32</v>
      </c>
      <c r="N83" s="72">
        <v>844.34</v>
      </c>
      <c r="O83" s="72">
        <v>1183.48</v>
      </c>
      <c r="P83" s="71">
        <f t="shared" si="13"/>
        <v>1.1178573319917386</v>
      </c>
      <c r="Q83" s="71">
        <f t="shared" si="14"/>
        <v>0.4016628372456592</v>
      </c>
    </row>
    <row r="84" spans="1:17" s="45" customFormat="1" ht="16.5" customHeight="1">
      <c r="A84" s="66"/>
      <c r="B84" s="66"/>
      <c r="C84" s="66"/>
      <c r="D84" s="66"/>
      <c r="E84" s="66"/>
      <c r="F84" s="66"/>
      <c r="G84" s="60" t="s">
        <v>241</v>
      </c>
      <c r="H84" s="61">
        <v>173.03</v>
      </c>
      <c r="I84" s="61">
        <v>207</v>
      </c>
      <c r="J84" s="61">
        <v>474.19</v>
      </c>
      <c r="K84" s="61">
        <v>403.56</v>
      </c>
      <c r="L84" s="61">
        <v>239.62</v>
      </c>
      <c r="M84" s="72">
        <v>240.62</v>
      </c>
      <c r="N84" s="72">
        <v>238.75</v>
      </c>
      <c r="O84" s="72">
        <v>221.96</v>
      </c>
      <c r="P84" s="71">
        <f t="shared" si="13"/>
        <v>0.9922284099409858</v>
      </c>
      <c r="Q84" s="71">
        <f t="shared" si="14"/>
        <v>-0.07032460732984291</v>
      </c>
    </row>
    <row r="85" spans="1:17" s="45" customFormat="1" ht="16.5" customHeight="1">
      <c r="A85" s="66"/>
      <c r="B85" s="66"/>
      <c r="C85" s="66"/>
      <c r="D85" s="66"/>
      <c r="E85" s="66"/>
      <c r="F85" s="66"/>
      <c r="G85" s="60" t="s">
        <v>242</v>
      </c>
      <c r="H85" s="61">
        <v>323.1</v>
      </c>
      <c r="I85" s="61">
        <v>287.18</v>
      </c>
      <c r="J85" s="61">
        <v>26.14</v>
      </c>
      <c r="K85" s="61">
        <v>27.71</v>
      </c>
      <c r="L85" s="61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</row>
    <row r="86" spans="1:17" s="45" customFormat="1" ht="16.5" customHeight="1">
      <c r="A86" s="66"/>
      <c r="B86" s="66"/>
      <c r="C86" s="66"/>
      <c r="D86" s="66"/>
      <c r="E86" s="66"/>
      <c r="F86" s="66"/>
      <c r="G86" s="60" t="s">
        <v>243</v>
      </c>
      <c r="H86" s="61">
        <v>0</v>
      </c>
      <c r="I86" s="61">
        <v>7</v>
      </c>
      <c r="J86" s="61">
        <v>0</v>
      </c>
      <c r="K86" s="61">
        <v>8</v>
      </c>
      <c r="L86" s="61">
        <v>0</v>
      </c>
      <c r="M86" s="72">
        <v>12</v>
      </c>
      <c r="N86" s="72">
        <v>12</v>
      </c>
      <c r="O86" s="72">
        <v>0</v>
      </c>
      <c r="P86" s="71">
        <f t="shared" si="13"/>
        <v>1</v>
      </c>
      <c r="Q86" s="71">
        <f aca="true" t="shared" si="15" ref="Q86:Q91">O86/N86-1</f>
        <v>-1</v>
      </c>
    </row>
    <row r="87" spans="1:17" s="45" customFormat="1" ht="16.5" customHeight="1">
      <c r="A87" s="66"/>
      <c r="B87" s="66"/>
      <c r="C87" s="66"/>
      <c r="D87" s="66"/>
      <c r="E87" s="66"/>
      <c r="F87" s="66"/>
      <c r="G87" s="60" t="s">
        <v>244</v>
      </c>
      <c r="H87" s="61">
        <v>522.2</v>
      </c>
      <c r="I87" s="61">
        <v>490.15</v>
      </c>
      <c r="J87" s="61">
        <v>504.16</v>
      </c>
      <c r="K87" s="61">
        <v>308.89</v>
      </c>
      <c r="L87" s="61">
        <v>420.96</v>
      </c>
      <c r="M87" s="72">
        <v>350.12</v>
      </c>
      <c r="N87" s="72">
        <v>319.26</v>
      </c>
      <c r="O87" s="72">
        <v>505.07</v>
      </c>
      <c r="P87" s="71">
        <f t="shared" si="13"/>
        <v>0.911858791271564</v>
      </c>
      <c r="Q87" s="71">
        <f t="shared" si="15"/>
        <v>0.5820021299254525</v>
      </c>
    </row>
    <row r="88" spans="1:17" s="45" customFormat="1" ht="16.5" customHeight="1">
      <c r="A88" s="66"/>
      <c r="B88" s="66"/>
      <c r="C88" s="66"/>
      <c r="D88" s="66"/>
      <c r="E88" s="66"/>
      <c r="F88" s="66"/>
      <c r="G88" s="60" t="s">
        <v>245</v>
      </c>
      <c r="H88" s="61">
        <v>26.29</v>
      </c>
      <c r="I88" s="61">
        <v>41.53</v>
      </c>
      <c r="J88" s="61">
        <v>57.64</v>
      </c>
      <c r="K88" s="61">
        <v>70.92</v>
      </c>
      <c r="L88" s="61">
        <v>55.83</v>
      </c>
      <c r="M88" s="72">
        <v>71.13</v>
      </c>
      <c r="N88" s="72">
        <v>70.37</v>
      </c>
      <c r="O88" s="72">
        <v>0</v>
      </c>
      <c r="P88" s="71">
        <f t="shared" si="13"/>
        <v>0.9893153381133137</v>
      </c>
      <c r="Q88" s="71">
        <f t="shared" si="15"/>
        <v>-1</v>
      </c>
    </row>
    <row r="89" spans="1:17" s="45" customFormat="1" ht="16.5" customHeight="1">
      <c r="A89" s="66"/>
      <c r="B89" s="66"/>
      <c r="C89" s="66"/>
      <c r="D89" s="66"/>
      <c r="E89" s="66"/>
      <c r="F89" s="66"/>
      <c r="G89" s="60" t="s">
        <v>246</v>
      </c>
      <c r="H89" s="61"/>
      <c r="I89" s="61"/>
      <c r="J89" s="61">
        <v>0</v>
      </c>
      <c r="K89" s="61">
        <v>0</v>
      </c>
      <c r="L89" s="61">
        <v>5</v>
      </c>
      <c r="M89" s="72">
        <v>5</v>
      </c>
      <c r="N89" s="72">
        <v>1.94</v>
      </c>
      <c r="O89" s="72">
        <v>5</v>
      </c>
      <c r="P89" s="71">
        <f t="shared" si="13"/>
        <v>0.388</v>
      </c>
      <c r="Q89" s="71">
        <f t="shared" si="15"/>
        <v>1.5773195876288661</v>
      </c>
    </row>
    <row r="90" spans="1:17" s="45" customFormat="1" ht="16.5" customHeight="1">
      <c r="A90" s="66"/>
      <c r="B90" s="66"/>
      <c r="C90" s="66"/>
      <c r="D90" s="66"/>
      <c r="E90" s="66"/>
      <c r="F90" s="66"/>
      <c r="G90" s="60" t="s">
        <v>247</v>
      </c>
      <c r="H90" s="61"/>
      <c r="I90" s="61"/>
      <c r="J90" s="61">
        <v>0</v>
      </c>
      <c r="K90" s="61">
        <v>0</v>
      </c>
      <c r="L90" s="61">
        <v>0.64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</row>
    <row r="91" spans="1:17" s="45" customFormat="1" ht="16.5" customHeight="1">
      <c r="A91" s="66"/>
      <c r="B91" s="66"/>
      <c r="C91" s="66"/>
      <c r="D91" s="66"/>
      <c r="E91" s="66"/>
      <c r="F91" s="66"/>
      <c r="G91" s="60" t="s">
        <v>248</v>
      </c>
      <c r="H91" s="61">
        <f>R93/10000</f>
        <v>0</v>
      </c>
      <c r="I91" s="61">
        <v>0</v>
      </c>
      <c r="J91" s="61">
        <v>0</v>
      </c>
      <c r="K91" s="61">
        <v>0.7</v>
      </c>
      <c r="L91" s="61">
        <v>0</v>
      </c>
      <c r="M91" s="72">
        <v>37.18</v>
      </c>
      <c r="N91" s="72">
        <v>33.24</v>
      </c>
      <c r="O91" s="72">
        <v>2.5</v>
      </c>
      <c r="P91" s="71">
        <f t="shared" si="13"/>
        <v>0.8940290478752018</v>
      </c>
      <c r="Q91" s="71">
        <f t="shared" si="15"/>
        <v>-0.9247894103489771</v>
      </c>
    </row>
    <row r="92" spans="1:17" s="45" customFormat="1" ht="16.5" customHeight="1">
      <c r="A92" s="67"/>
      <c r="B92" s="67"/>
      <c r="C92" s="67"/>
      <c r="D92" s="67"/>
      <c r="E92" s="67"/>
      <c r="F92" s="67"/>
      <c r="G92" s="56" t="s">
        <v>249</v>
      </c>
      <c r="H92" s="59">
        <v>1473.51</v>
      </c>
      <c r="I92" s="59">
        <v>642.17</v>
      </c>
      <c r="J92" s="59">
        <v>311.69</v>
      </c>
      <c r="K92" s="59">
        <v>465.71</v>
      </c>
      <c r="L92" s="59">
        <f>SUM(L93:L98)</f>
        <v>887.98</v>
      </c>
      <c r="M92" s="70">
        <v>1192.49</v>
      </c>
      <c r="N92" s="70">
        <f>SUM(N93:N100)</f>
        <v>943.22</v>
      </c>
      <c r="O92" s="70">
        <v>2809.94</v>
      </c>
      <c r="P92" s="71">
        <f t="shared" si="13"/>
        <v>0.7909668005601724</v>
      </c>
      <c r="Q92" s="71">
        <f aca="true" t="shared" si="16" ref="Q92:Q96">O92/N92-1</f>
        <v>1.9790928945527022</v>
      </c>
    </row>
    <row r="93" spans="1:17" s="45" customFormat="1" ht="16.5" customHeight="1">
      <c r="A93" s="66"/>
      <c r="B93" s="66"/>
      <c r="C93" s="66"/>
      <c r="D93" s="66"/>
      <c r="E93" s="66"/>
      <c r="F93" s="66"/>
      <c r="G93" s="68" t="s">
        <v>250</v>
      </c>
      <c r="H93" s="61">
        <v>2.2</v>
      </c>
      <c r="I93" s="61">
        <v>2.6</v>
      </c>
      <c r="J93" s="61">
        <v>20.58</v>
      </c>
      <c r="K93" s="61">
        <v>19.42</v>
      </c>
      <c r="L93" s="61">
        <v>5</v>
      </c>
      <c r="M93" s="72">
        <v>36.7</v>
      </c>
      <c r="N93" s="72">
        <v>32.25</v>
      </c>
      <c r="O93" s="72">
        <v>31.48</v>
      </c>
      <c r="P93" s="71">
        <f t="shared" si="13"/>
        <v>0.8787465940054495</v>
      </c>
      <c r="Q93" s="71">
        <f t="shared" si="16"/>
        <v>-0.023875968992248087</v>
      </c>
    </row>
    <row r="94" spans="1:17" s="44" customFormat="1" ht="16.5" customHeight="1">
      <c r="A94" s="66"/>
      <c r="B94" s="66"/>
      <c r="C94" s="66"/>
      <c r="D94" s="66"/>
      <c r="E94" s="66"/>
      <c r="F94" s="66"/>
      <c r="G94" s="68" t="s">
        <v>251</v>
      </c>
      <c r="H94" s="61">
        <v>8.4</v>
      </c>
      <c r="I94" s="61">
        <v>5.21</v>
      </c>
      <c r="J94" s="61">
        <v>5</v>
      </c>
      <c r="K94" s="61">
        <v>51.07</v>
      </c>
      <c r="L94" s="61">
        <v>5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</row>
    <row r="95" spans="1:17" s="45" customFormat="1" ht="16.5" customHeight="1">
      <c r="A95" s="66"/>
      <c r="B95" s="66"/>
      <c r="C95" s="66"/>
      <c r="D95" s="66"/>
      <c r="E95" s="66"/>
      <c r="F95" s="66"/>
      <c r="G95" s="68" t="s">
        <v>252</v>
      </c>
      <c r="H95" s="61">
        <v>356.41</v>
      </c>
      <c r="I95" s="61">
        <v>341.97</v>
      </c>
      <c r="J95" s="61">
        <v>1.46</v>
      </c>
      <c r="K95" s="61">
        <v>1.46</v>
      </c>
      <c r="L95" s="61">
        <v>436.13</v>
      </c>
      <c r="M95" s="72">
        <v>387.47</v>
      </c>
      <c r="N95" s="72">
        <v>357.73</v>
      </c>
      <c r="O95" s="72">
        <f>1324.96-0.01</f>
        <v>1324.95</v>
      </c>
      <c r="P95" s="71">
        <f t="shared" si="13"/>
        <v>0.9232456706325651</v>
      </c>
      <c r="Q95" s="71">
        <f t="shared" si="16"/>
        <v>2.7037710004752187</v>
      </c>
    </row>
    <row r="96" spans="1:17" s="45" customFormat="1" ht="16.5" customHeight="1">
      <c r="A96" s="66"/>
      <c r="B96" s="66"/>
      <c r="C96" s="66"/>
      <c r="D96" s="66"/>
      <c r="E96" s="66"/>
      <c r="F96" s="66"/>
      <c r="G96" s="60" t="s">
        <v>253</v>
      </c>
      <c r="H96" s="61">
        <v>3.6</v>
      </c>
      <c r="I96" s="61">
        <v>3.59</v>
      </c>
      <c r="J96" s="61">
        <v>273.75</v>
      </c>
      <c r="K96" s="61">
        <v>184.15</v>
      </c>
      <c r="L96" s="61">
        <v>348.25</v>
      </c>
      <c r="M96" s="72">
        <v>696.32</v>
      </c>
      <c r="N96" s="72">
        <v>532.74</v>
      </c>
      <c r="O96" s="72">
        <v>1451.32</v>
      </c>
      <c r="P96" s="71">
        <f t="shared" si="13"/>
        <v>0.7650792738970588</v>
      </c>
      <c r="Q96" s="71">
        <f t="shared" si="16"/>
        <v>1.724255734504636</v>
      </c>
    </row>
    <row r="97" spans="1:17" s="45" customFormat="1" ht="16.5" customHeight="1">
      <c r="A97" s="66"/>
      <c r="B97" s="66"/>
      <c r="C97" s="66"/>
      <c r="D97" s="66"/>
      <c r="E97" s="66"/>
      <c r="F97" s="66"/>
      <c r="G97" s="60" t="s">
        <v>254</v>
      </c>
      <c r="H97" s="61">
        <f>R99/10000</f>
        <v>0</v>
      </c>
      <c r="I97" s="59">
        <v>0</v>
      </c>
      <c r="J97" s="61">
        <v>0</v>
      </c>
      <c r="K97" s="61">
        <v>0</v>
      </c>
      <c r="L97" s="61"/>
      <c r="M97" s="72">
        <v>0</v>
      </c>
      <c r="N97" s="72">
        <v>0</v>
      </c>
      <c r="O97" s="72">
        <v>0</v>
      </c>
      <c r="P97" s="72">
        <v>0</v>
      </c>
      <c r="Q97" s="72">
        <v>0</v>
      </c>
    </row>
    <row r="98" spans="1:17" s="45" customFormat="1" ht="16.5" customHeight="1">
      <c r="A98" s="66"/>
      <c r="B98" s="66"/>
      <c r="C98" s="66"/>
      <c r="D98" s="66"/>
      <c r="E98" s="66"/>
      <c r="F98" s="66"/>
      <c r="G98" s="60" t="s">
        <v>255</v>
      </c>
      <c r="H98" s="61">
        <v>1102.9</v>
      </c>
      <c r="I98" s="61">
        <v>288.8</v>
      </c>
      <c r="J98" s="61">
        <v>10.9</v>
      </c>
      <c r="K98" s="61">
        <v>209.61</v>
      </c>
      <c r="L98" s="61">
        <v>93.6</v>
      </c>
      <c r="M98" s="72">
        <v>69.5</v>
      </c>
      <c r="N98" s="72">
        <v>18</v>
      </c>
      <c r="O98" s="72">
        <v>0.19</v>
      </c>
      <c r="P98" s="71">
        <f t="shared" si="13"/>
        <v>0.2589928057553957</v>
      </c>
      <c r="Q98" s="71">
        <f aca="true" t="shared" si="17" ref="Q98:Q101">O98/N98-1</f>
        <v>-0.9894444444444445</v>
      </c>
    </row>
    <row r="99" spans="1:17" s="45" customFormat="1" ht="16.5" customHeight="1">
      <c r="A99" s="66"/>
      <c r="B99" s="66"/>
      <c r="C99" s="66"/>
      <c r="D99" s="66"/>
      <c r="E99" s="66"/>
      <c r="F99" s="66"/>
      <c r="G99" s="60" t="s">
        <v>256</v>
      </c>
      <c r="H99" s="61"/>
      <c r="I99" s="61"/>
      <c r="J99" s="61"/>
      <c r="K99" s="61"/>
      <c r="L99" s="61"/>
      <c r="M99" s="72">
        <v>1</v>
      </c>
      <c r="N99" s="72">
        <v>1</v>
      </c>
      <c r="O99" s="72">
        <v>1</v>
      </c>
      <c r="P99" s="71">
        <f t="shared" si="13"/>
        <v>1</v>
      </c>
      <c r="Q99" s="71">
        <f t="shared" si="17"/>
        <v>0</v>
      </c>
    </row>
    <row r="100" spans="1:17" s="45" customFormat="1" ht="16.5" customHeight="1">
      <c r="A100" s="66"/>
      <c r="B100" s="66"/>
      <c r="C100" s="66"/>
      <c r="D100" s="66"/>
      <c r="E100" s="66"/>
      <c r="F100" s="66"/>
      <c r="G100" s="68" t="s">
        <v>257</v>
      </c>
      <c r="H100" s="61">
        <f>R102/10000</f>
        <v>0</v>
      </c>
      <c r="I100" s="61">
        <v>0</v>
      </c>
      <c r="J100" s="61">
        <v>0</v>
      </c>
      <c r="K100" s="61">
        <v>0</v>
      </c>
      <c r="L100" s="61"/>
      <c r="M100" s="72">
        <v>1.5</v>
      </c>
      <c r="N100" s="72">
        <v>1.5</v>
      </c>
      <c r="O100" s="72">
        <v>1</v>
      </c>
      <c r="P100" s="71">
        <f t="shared" si="13"/>
        <v>1</v>
      </c>
      <c r="Q100" s="71">
        <f t="shared" si="17"/>
        <v>-0.33333333333333337</v>
      </c>
    </row>
    <row r="101" spans="1:17" s="45" customFormat="1" ht="16.5" customHeight="1">
      <c r="A101" s="67"/>
      <c r="B101" s="67"/>
      <c r="C101" s="67"/>
      <c r="D101" s="67"/>
      <c r="E101" s="67"/>
      <c r="F101" s="67"/>
      <c r="G101" s="56" t="s">
        <v>258</v>
      </c>
      <c r="H101" s="59">
        <v>3362.74</v>
      </c>
      <c r="I101" s="59">
        <v>3458.79</v>
      </c>
      <c r="J101" s="59">
        <v>4226.03</v>
      </c>
      <c r="K101" s="59">
        <v>3119.12</v>
      </c>
      <c r="L101" s="59">
        <f>SUM(L102:L107)</f>
        <v>1454.6599999999999</v>
      </c>
      <c r="M101" s="70">
        <v>4054.929999999999</v>
      </c>
      <c r="N101" s="70">
        <f>SUM(N102:N107)</f>
        <v>4079.52</v>
      </c>
      <c r="O101" s="70">
        <v>3783.57</v>
      </c>
      <c r="P101" s="71">
        <f t="shared" si="13"/>
        <v>1.0060642230568717</v>
      </c>
      <c r="Q101" s="71">
        <f t="shared" si="17"/>
        <v>-0.07254529944699373</v>
      </c>
    </row>
    <row r="102" spans="1:17" s="45" customFormat="1" ht="16.5" customHeight="1">
      <c r="A102" s="66"/>
      <c r="B102" s="66"/>
      <c r="C102" s="66"/>
      <c r="D102" s="66"/>
      <c r="E102" s="66"/>
      <c r="F102" s="66"/>
      <c r="G102" s="68" t="s">
        <v>259</v>
      </c>
      <c r="H102" s="61">
        <v>227.18</v>
      </c>
      <c r="I102" s="61">
        <v>228.71</v>
      </c>
      <c r="J102" s="61">
        <v>233.9</v>
      </c>
      <c r="K102" s="61">
        <v>234.39</v>
      </c>
      <c r="L102" s="61">
        <v>169.99</v>
      </c>
      <c r="M102" s="72">
        <v>225.39</v>
      </c>
      <c r="N102" s="72">
        <v>133.54</v>
      </c>
      <c r="O102" s="72">
        <v>207.8</v>
      </c>
      <c r="P102" s="71">
        <f t="shared" si="13"/>
        <v>0.5924841386041971</v>
      </c>
      <c r="Q102" s="71">
        <f aca="true" t="shared" si="18" ref="Q102:Q121">O102/N102-1</f>
        <v>0.5560880635015728</v>
      </c>
    </row>
    <row r="103" spans="1:17" s="44" customFormat="1" ht="16.5" customHeight="1">
      <c r="A103" s="66"/>
      <c r="B103" s="66"/>
      <c r="C103" s="66"/>
      <c r="D103" s="66"/>
      <c r="E103" s="66"/>
      <c r="F103" s="66"/>
      <c r="G103" s="68" t="s">
        <v>260</v>
      </c>
      <c r="H103" s="61">
        <v>100.9</v>
      </c>
      <c r="I103" s="61">
        <v>70.18</v>
      </c>
      <c r="J103" s="61">
        <v>69.54</v>
      </c>
      <c r="K103" s="61">
        <v>55.67</v>
      </c>
      <c r="L103" s="61">
        <v>48</v>
      </c>
      <c r="M103" s="72">
        <v>1.95</v>
      </c>
      <c r="N103" s="72">
        <v>1.87</v>
      </c>
      <c r="O103" s="72">
        <v>4.5</v>
      </c>
      <c r="P103" s="71">
        <f aca="true" t="shared" si="19" ref="P103:P134">N103/M103</f>
        <v>0.958974358974359</v>
      </c>
      <c r="Q103" s="71">
        <f t="shared" si="18"/>
        <v>1.406417112299465</v>
      </c>
    </row>
    <row r="104" spans="1:17" s="45" customFormat="1" ht="16.5" customHeight="1">
      <c r="A104" s="66"/>
      <c r="B104" s="66"/>
      <c r="C104" s="66"/>
      <c r="D104" s="66"/>
      <c r="E104" s="66"/>
      <c r="F104" s="66"/>
      <c r="G104" s="60" t="s">
        <v>261</v>
      </c>
      <c r="H104" s="61">
        <v>2140.3</v>
      </c>
      <c r="I104" s="61">
        <v>2472.94</v>
      </c>
      <c r="J104" s="61">
        <v>3224.71</v>
      </c>
      <c r="K104" s="61">
        <v>334.47</v>
      </c>
      <c r="L104" s="61">
        <v>87.91</v>
      </c>
      <c r="M104" s="72">
        <v>1099.53</v>
      </c>
      <c r="N104" s="72">
        <v>2742.42</v>
      </c>
      <c r="O104" s="72">
        <v>1327.74</v>
      </c>
      <c r="P104" s="71">
        <f t="shared" si="19"/>
        <v>2.494174783771248</v>
      </c>
      <c r="Q104" s="71">
        <f t="shared" si="18"/>
        <v>-0.5158509637473472</v>
      </c>
    </row>
    <row r="105" spans="1:17" s="45" customFormat="1" ht="16.5" customHeight="1">
      <c r="A105" s="66"/>
      <c r="B105" s="66"/>
      <c r="C105" s="66"/>
      <c r="D105" s="66"/>
      <c r="E105" s="66"/>
      <c r="F105" s="66"/>
      <c r="G105" s="68" t="s">
        <v>262</v>
      </c>
      <c r="H105" s="61">
        <v>871.73</v>
      </c>
      <c r="I105" s="61">
        <v>654.55</v>
      </c>
      <c r="J105" s="61">
        <v>693</v>
      </c>
      <c r="K105" s="61">
        <v>753.85</v>
      </c>
      <c r="L105" s="61">
        <v>709.65</v>
      </c>
      <c r="M105" s="72">
        <v>1258.23</v>
      </c>
      <c r="N105" s="72">
        <v>984.66</v>
      </c>
      <c r="O105" s="72">
        <v>1251.4</v>
      </c>
      <c r="P105" s="71">
        <f t="shared" si="19"/>
        <v>0.7825755227581602</v>
      </c>
      <c r="Q105" s="71">
        <f t="shared" si="18"/>
        <v>0.2708955375459552</v>
      </c>
    </row>
    <row r="106" spans="1:17" s="45" customFormat="1" ht="16.5" customHeight="1">
      <c r="A106" s="66"/>
      <c r="B106" s="66"/>
      <c r="C106" s="66"/>
      <c r="D106" s="66"/>
      <c r="E106" s="66"/>
      <c r="F106" s="66"/>
      <c r="G106" s="60" t="s">
        <v>263</v>
      </c>
      <c r="H106" s="61">
        <f>R108/10000</f>
        <v>0</v>
      </c>
      <c r="I106" s="59">
        <v>0</v>
      </c>
      <c r="J106" s="61">
        <v>0</v>
      </c>
      <c r="K106" s="61">
        <v>0</v>
      </c>
      <c r="L106" s="61">
        <v>2.16</v>
      </c>
      <c r="M106" s="72">
        <v>0</v>
      </c>
      <c r="N106" s="72">
        <v>0</v>
      </c>
      <c r="O106" s="72">
        <v>0.5</v>
      </c>
      <c r="P106" s="72">
        <v>0</v>
      </c>
      <c r="Q106" s="72">
        <v>0</v>
      </c>
    </row>
    <row r="107" spans="1:17" s="45" customFormat="1" ht="16.5" customHeight="1">
      <c r="A107" s="66"/>
      <c r="B107" s="66"/>
      <c r="C107" s="66"/>
      <c r="D107" s="66"/>
      <c r="E107" s="66"/>
      <c r="F107" s="66"/>
      <c r="G107" s="68" t="s">
        <v>264</v>
      </c>
      <c r="H107" s="61">
        <v>22.63</v>
      </c>
      <c r="I107" s="61">
        <v>32.41</v>
      </c>
      <c r="J107" s="61">
        <v>4.88</v>
      </c>
      <c r="K107" s="61">
        <v>1740.74</v>
      </c>
      <c r="L107" s="61">
        <v>436.95</v>
      </c>
      <c r="M107" s="72">
        <v>1469.83</v>
      </c>
      <c r="N107" s="72">
        <v>217.03</v>
      </c>
      <c r="O107" s="72">
        <v>991.63</v>
      </c>
      <c r="P107" s="71">
        <f t="shared" si="19"/>
        <v>0.14765653170774853</v>
      </c>
      <c r="Q107" s="71">
        <f t="shared" si="18"/>
        <v>3.5690918306224946</v>
      </c>
    </row>
    <row r="108" spans="1:17" s="45" customFormat="1" ht="16.5" customHeight="1">
      <c r="A108" s="67"/>
      <c r="B108" s="67"/>
      <c r="C108" s="67"/>
      <c r="D108" s="67"/>
      <c r="E108" s="67"/>
      <c r="F108" s="67"/>
      <c r="G108" s="56" t="s">
        <v>265</v>
      </c>
      <c r="H108" s="59">
        <v>3390.43</v>
      </c>
      <c r="I108" s="59">
        <v>2409.06</v>
      </c>
      <c r="J108" s="59">
        <v>1911.78</v>
      </c>
      <c r="K108" s="59">
        <v>2070.92</v>
      </c>
      <c r="L108" s="59">
        <f>SUM(L109:L115)</f>
        <v>2057.98</v>
      </c>
      <c r="M108" s="70">
        <v>3529.8700000000003</v>
      </c>
      <c r="N108" s="70">
        <f>SUM(N109:N115)</f>
        <v>3068.4999999999995</v>
      </c>
      <c r="O108" s="70">
        <v>3764.74</v>
      </c>
      <c r="P108" s="71">
        <f t="shared" si="19"/>
        <v>0.8692954698048367</v>
      </c>
      <c r="Q108" s="71">
        <f t="shared" si="18"/>
        <v>0.22689913638585635</v>
      </c>
    </row>
    <row r="109" spans="1:17" s="45" customFormat="1" ht="16.5" customHeight="1">
      <c r="A109" s="66"/>
      <c r="B109" s="66"/>
      <c r="C109" s="66"/>
      <c r="D109" s="66"/>
      <c r="E109" s="66"/>
      <c r="F109" s="66"/>
      <c r="G109" s="68" t="s">
        <v>266</v>
      </c>
      <c r="H109" s="61">
        <v>359.5</v>
      </c>
      <c r="I109" s="61">
        <v>267.27</v>
      </c>
      <c r="J109" s="61">
        <v>382.68</v>
      </c>
      <c r="K109" s="61">
        <v>443.32</v>
      </c>
      <c r="L109" s="61">
        <v>510.37</v>
      </c>
      <c r="M109" s="72">
        <v>859.94</v>
      </c>
      <c r="N109" s="72">
        <v>887.73</v>
      </c>
      <c r="O109" s="72">
        <v>1041.23</v>
      </c>
      <c r="P109" s="71">
        <f t="shared" si="19"/>
        <v>1.0323162081075423</v>
      </c>
      <c r="Q109" s="71">
        <f t="shared" si="18"/>
        <v>0.17291293523931817</v>
      </c>
    </row>
    <row r="110" spans="1:17" s="44" customFormat="1" ht="16.5" customHeight="1">
      <c r="A110" s="66"/>
      <c r="B110" s="66"/>
      <c r="C110" s="66"/>
      <c r="D110" s="66"/>
      <c r="E110" s="66"/>
      <c r="F110" s="66"/>
      <c r="G110" s="68" t="s">
        <v>267</v>
      </c>
      <c r="H110" s="61">
        <v>449.06</v>
      </c>
      <c r="I110" s="61">
        <v>288.97</v>
      </c>
      <c r="J110" s="61">
        <v>375.74</v>
      </c>
      <c r="K110" s="61">
        <v>267.45</v>
      </c>
      <c r="L110" s="61">
        <v>671.13</v>
      </c>
      <c r="M110" s="72">
        <v>744.51</v>
      </c>
      <c r="N110" s="72">
        <v>680.08</v>
      </c>
      <c r="O110" s="72">
        <v>750.07</v>
      </c>
      <c r="P110" s="71">
        <f t="shared" si="19"/>
        <v>0.9134598595049094</v>
      </c>
      <c r="Q110" s="71">
        <f t="shared" si="18"/>
        <v>0.10291436301611578</v>
      </c>
    </row>
    <row r="111" spans="1:17" s="45" customFormat="1" ht="16.5" customHeight="1">
      <c r="A111" s="66"/>
      <c r="B111" s="66"/>
      <c r="C111" s="66"/>
      <c r="D111" s="66"/>
      <c r="E111" s="66"/>
      <c r="F111" s="66"/>
      <c r="G111" s="60" t="s">
        <v>268</v>
      </c>
      <c r="H111" s="61">
        <v>2063.23</v>
      </c>
      <c r="I111" s="61">
        <v>1194.77</v>
      </c>
      <c r="J111" s="61">
        <v>1003.36</v>
      </c>
      <c r="K111" s="61">
        <v>872.51</v>
      </c>
      <c r="L111" s="61">
        <v>618.69</v>
      </c>
      <c r="M111" s="72">
        <v>945.16</v>
      </c>
      <c r="N111" s="72">
        <v>847.54</v>
      </c>
      <c r="O111" s="72">
        <v>1194.51</v>
      </c>
      <c r="P111" s="71">
        <f t="shared" si="19"/>
        <v>0.896715899953447</v>
      </c>
      <c r="Q111" s="71">
        <f t="shared" si="18"/>
        <v>0.4093848077966822</v>
      </c>
    </row>
    <row r="112" spans="1:17" s="45" customFormat="1" ht="16.5" customHeight="1">
      <c r="A112" s="66"/>
      <c r="B112" s="66"/>
      <c r="C112" s="66"/>
      <c r="D112" s="66"/>
      <c r="E112" s="66"/>
      <c r="F112" s="66"/>
      <c r="G112" s="60" t="s">
        <v>269</v>
      </c>
      <c r="H112" s="61">
        <v>516.64</v>
      </c>
      <c r="I112" s="61">
        <v>656.05</v>
      </c>
      <c r="J112" s="61">
        <v>128</v>
      </c>
      <c r="K112" s="61">
        <v>442.01</v>
      </c>
      <c r="L112" s="61">
        <v>207.86</v>
      </c>
      <c r="M112" s="72">
        <v>658.48</v>
      </c>
      <c r="N112" s="72">
        <v>604.01</v>
      </c>
      <c r="O112" s="72">
        <v>283.44</v>
      </c>
      <c r="P112" s="71">
        <f t="shared" si="19"/>
        <v>0.917279188433969</v>
      </c>
      <c r="Q112" s="71">
        <f t="shared" si="18"/>
        <v>-0.5307362460886409</v>
      </c>
    </row>
    <row r="113" spans="1:17" s="45" customFormat="1" ht="16.5" customHeight="1">
      <c r="A113" s="66"/>
      <c r="B113" s="66"/>
      <c r="C113" s="66"/>
      <c r="D113" s="66"/>
      <c r="E113" s="66"/>
      <c r="F113" s="66"/>
      <c r="G113" s="60" t="s">
        <v>270</v>
      </c>
      <c r="H113" s="61">
        <v>2</v>
      </c>
      <c r="I113" s="61">
        <v>2</v>
      </c>
      <c r="J113" s="61">
        <v>2</v>
      </c>
      <c r="K113" s="61">
        <v>1.97</v>
      </c>
      <c r="L113" s="61">
        <v>5</v>
      </c>
      <c r="M113" s="72">
        <v>318.78</v>
      </c>
      <c r="N113" s="72">
        <v>48.37</v>
      </c>
      <c r="O113" s="72">
        <v>493.49</v>
      </c>
      <c r="P113" s="71">
        <f t="shared" si="19"/>
        <v>0.15173473869126045</v>
      </c>
      <c r="Q113" s="71">
        <f t="shared" si="18"/>
        <v>9.202398180690512</v>
      </c>
    </row>
    <row r="114" spans="1:17" s="45" customFormat="1" ht="16.5" customHeight="1">
      <c r="A114" s="66"/>
      <c r="B114" s="66"/>
      <c r="C114" s="66"/>
      <c r="D114" s="66"/>
      <c r="E114" s="66"/>
      <c r="F114" s="66"/>
      <c r="G114" s="60" t="s">
        <v>271</v>
      </c>
      <c r="H114" s="61">
        <f>R116/10000</f>
        <v>0</v>
      </c>
      <c r="I114" s="59">
        <v>0</v>
      </c>
      <c r="J114" s="61">
        <v>20</v>
      </c>
      <c r="K114" s="61">
        <v>43.66</v>
      </c>
      <c r="L114" s="61">
        <v>42.93</v>
      </c>
      <c r="M114" s="72">
        <v>1</v>
      </c>
      <c r="N114" s="72">
        <v>0.77</v>
      </c>
      <c r="O114" s="72">
        <v>0</v>
      </c>
      <c r="P114" s="71">
        <f t="shared" si="19"/>
        <v>0.77</v>
      </c>
      <c r="Q114" s="71">
        <f t="shared" si="18"/>
        <v>-1</v>
      </c>
    </row>
    <row r="115" spans="1:17" s="45" customFormat="1" ht="16.5" customHeight="1">
      <c r="A115" s="66"/>
      <c r="B115" s="66"/>
      <c r="C115" s="66"/>
      <c r="D115" s="66"/>
      <c r="E115" s="66"/>
      <c r="F115" s="66"/>
      <c r="G115" s="60" t="s">
        <v>272</v>
      </c>
      <c r="H115" s="61"/>
      <c r="I115" s="59"/>
      <c r="J115" s="61">
        <v>0</v>
      </c>
      <c r="K115" s="61">
        <v>0</v>
      </c>
      <c r="L115" s="61">
        <v>2</v>
      </c>
      <c r="M115" s="72">
        <v>2</v>
      </c>
      <c r="N115" s="72">
        <v>0</v>
      </c>
      <c r="O115" s="72">
        <v>2</v>
      </c>
      <c r="P115" s="71">
        <f t="shared" si="19"/>
        <v>0</v>
      </c>
      <c r="Q115" s="72">
        <v>0</v>
      </c>
    </row>
    <row r="116" spans="1:17" s="45" customFormat="1" ht="16.5" customHeight="1">
      <c r="A116" s="67"/>
      <c r="B116" s="67"/>
      <c r="C116" s="67"/>
      <c r="D116" s="67"/>
      <c r="E116" s="67"/>
      <c r="F116" s="67"/>
      <c r="G116" s="56" t="s">
        <v>273</v>
      </c>
      <c r="H116" s="59">
        <v>253.31</v>
      </c>
      <c r="I116" s="59">
        <v>110.73</v>
      </c>
      <c r="J116" s="59">
        <v>177.89</v>
      </c>
      <c r="K116" s="59">
        <v>1773.94</v>
      </c>
      <c r="L116" s="59">
        <f>SUM(L117:L119)</f>
        <v>6239.28</v>
      </c>
      <c r="M116" s="70">
        <v>1483.57</v>
      </c>
      <c r="N116" s="70">
        <f>SUM(N117:N119)</f>
        <v>1465.68</v>
      </c>
      <c r="O116" s="70">
        <v>1534.98</v>
      </c>
      <c r="P116" s="71">
        <f t="shared" si="19"/>
        <v>0.987941249823062</v>
      </c>
      <c r="Q116" s="71">
        <f t="shared" si="18"/>
        <v>0.04728180776158508</v>
      </c>
    </row>
    <row r="117" spans="1:17" s="45" customFormat="1" ht="16.5" customHeight="1">
      <c r="A117" s="66"/>
      <c r="B117" s="66"/>
      <c r="C117" s="66"/>
      <c r="D117" s="66"/>
      <c r="E117" s="66"/>
      <c r="F117" s="66"/>
      <c r="G117" s="68" t="s">
        <v>274</v>
      </c>
      <c r="H117" s="61">
        <v>139.91</v>
      </c>
      <c r="I117" s="61">
        <v>57.58</v>
      </c>
      <c r="J117" s="61">
        <v>64.99</v>
      </c>
      <c r="K117" s="61">
        <v>1705.27</v>
      </c>
      <c r="L117" s="61">
        <v>6100.78</v>
      </c>
      <c r="M117" s="72">
        <v>1388.14</v>
      </c>
      <c r="N117" s="72">
        <v>1370.25</v>
      </c>
      <c r="O117" s="72">
        <v>1434.7</v>
      </c>
      <c r="P117" s="71">
        <f t="shared" si="19"/>
        <v>0.9871122509256991</v>
      </c>
      <c r="Q117" s="71">
        <f t="shared" si="18"/>
        <v>0.04703521255245402</v>
      </c>
    </row>
    <row r="118" spans="1:17" s="44" customFormat="1" ht="16.5" customHeight="1">
      <c r="A118" s="66"/>
      <c r="B118" s="66"/>
      <c r="C118" s="66"/>
      <c r="D118" s="66"/>
      <c r="E118" s="66"/>
      <c r="F118" s="66"/>
      <c r="G118" s="68" t="s">
        <v>275</v>
      </c>
      <c r="H118" s="61">
        <v>107.4</v>
      </c>
      <c r="I118" s="61">
        <v>47.15</v>
      </c>
      <c r="J118" s="61">
        <v>107.4</v>
      </c>
      <c r="K118" s="61">
        <v>62.15</v>
      </c>
      <c r="L118" s="61">
        <v>134.5</v>
      </c>
      <c r="M118" s="72">
        <v>95.43</v>
      </c>
      <c r="N118" s="72">
        <v>95.43</v>
      </c>
      <c r="O118" s="72">
        <v>100.28</v>
      </c>
      <c r="P118" s="71">
        <f t="shared" si="19"/>
        <v>1</v>
      </c>
      <c r="Q118" s="71">
        <f t="shared" si="18"/>
        <v>0.0508225924761605</v>
      </c>
    </row>
    <row r="119" spans="1:17" s="45" customFormat="1" ht="16.5" customHeight="1">
      <c r="A119" s="66"/>
      <c r="B119" s="66"/>
      <c r="C119" s="66"/>
      <c r="D119" s="66"/>
      <c r="E119" s="66"/>
      <c r="F119" s="66"/>
      <c r="G119" s="60" t="s">
        <v>276</v>
      </c>
      <c r="H119" s="61">
        <v>6</v>
      </c>
      <c r="I119" s="61">
        <v>6</v>
      </c>
      <c r="J119" s="61">
        <v>5.5</v>
      </c>
      <c r="K119" s="61">
        <v>6.52</v>
      </c>
      <c r="L119" s="61">
        <v>4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</row>
    <row r="120" spans="1:17" s="45" customFormat="1" ht="16.5" customHeight="1">
      <c r="A120" s="67"/>
      <c r="B120" s="67"/>
      <c r="C120" s="67"/>
      <c r="D120" s="67"/>
      <c r="E120" s="67"/>
      <c r="F120" s="67"/>
      <c r="G120" s="56" t="s">
        <v>277</v>
      </c>
      <c r="H120" s="59">
        <v>258.65</v>
      </c>
      <c r="I120" s="59">
        <v>214.6</v>
      </c>
      <c r="J120" s="59">
        <v>72.72</v>
      </c>
      <c r="K120" s="59">
        <v>37.89</v>
      </c>
      <c r="L120" s="59">
        <f>SUM(L121:L125)</f>
        <v>5035.61</v>
      </c>
      <c r="M120" s="70">
        <v>1510.69</v>
      </c>
      <c r="N120" s="70">
        <f>SUM(N121:N125)</f>
        <v>1469.19</v>
      </c>
      <c r="O120" s="70">
        <v>316.97</v>
      </c>
      <c r="P120" s="71">
        <f t="shared" si="19"/>
        <v>0.9725291092149945</v>
      </c>
      <c r="Q120" s="71">
        <f t="shared" si="18"/>
        <v>-0.784255269910631</v>
      </c>
    </row>
    <row r="121" spans="1:17" s="45" customFormat="1" ht="16.5" customHeight="1">
      <c r="A121" s="67"/>
      <c r="B121" s="67"/>
      <c r="C121" s="67"/>
      <c r="D121" s="67"/>
      <c r="E121" s="67"/>
      <c r="F121" s="67"/>
      <c r="G121" s="60" t="s">
        <v>278</v>
      </c>
      <c r="H121" s="59"/>
      <c r="I121" s="59"/>
      <c r="J121" s="61">
        <v>0</v>
      </c>
      <c r="K121" s="61">
        <v>10.44</v>
      </c>
      <c r="L121" s="61">
        <v>4958.33</v>
      </c>
      <c r="M121" s="72">
        <v>1467.83</v>
      </c>
      <c r="N121" s="72">
        <v>1433.18</v>
      </c>
      <c r="O121" s="72">
        <v>316.97</v>
      </c>
      <c r="P121" s="71">
        <f t="shared" si="19"/>
        <v>0.9763937240688636</v>
      </c>
      <c r="Q121" s="71">
        <f t="shared" si="18"/>
        <v>-0.7788344799676244</v>
      </c>
    </row>
    <row r="122" spans="1:17" s="44" customFormat="1" ht="16.5" customHeight="1">
      <c r="A122" s="66"/>
      <c r="B122" s="66"/>
      <c r="C122" s="66"/>
      <c r="D122" s="66"/>
      <c r="E122" s="66"/>
      <c r="F122" s="66"/>
      <c r="G122" s="60" t="s">
        <v>279</v>
      </c>
      <c r="H122" s="61">
        <v>58.65</v>
      </c>
      <c r="I122" s="59">
        <v>0</v>
      </c>
      <c r="J122" s="61">
        <v>0</v>
      </c>
      <c r="K122" s="61">
        <v>0</v>
      </c>
      <c r="L122" s="61"/>
      <c r="M122" s="72">
        <v>0</v>
      </c>
      <c r="N122" s="72">
        <v>0</v>
      </c>
      <c r="O122" s="72">
        <v>0</v>
      </c>
      <c r="P122" s="72">
        <v>0</v>
      </c>
      <c r="Q122" s="72">
        <v>0</v>
      </c>
    </row>
    <row r="123" spans="1:17" s="44" customFormat="1" ht="16.5" customHeight="1">
      <c r="A123" s="66"/>
      <c r="B123" s="66"/>
      <c r="C123" s="66"/>
      <c r="D123" s="66"/>
      <c r="E123" s="66"/>
      <c r="F123" s="66"/>
      <c r="G123" s="60" t="s">
        <v>280</v>
      </c>
      <c r="H123" s="61">
        <v>200</v>
      </c>
      <c r="I123" s="61">
        <v>200</v>
      </c>
      <c r="J123" s="61">
        <v>0</v>
      </c>
      <c r="K123" s="61">
        <v>0</v>
      </c>
      <c r="L123" s="61"/>
      <c r="M123" s="72">
        <v>0</v>
      </c>
      <c r="N123" s="72">
        <v>0</v>
      </c>
      <c r="O123" s="72">
        <v>0</v>
      </c>
      <c r="P123" s="72">
        <v>0</v>
      </c>
      <c r="Q123" s="72">
        <v>0</v>
      </c>
    </row>
    <row r="124" spans="1:17" s="45" customFormat="1" ht="16.5" customHeight="1">
      <c r="A124" s="66"/>
      <c r="B124" s="66"/>
      <c r="C124" s="66"/>
      <c r="D124" s="66"/>
      <c r="E124" s="66"/>
      <c r="F124" s="66"/>
      <c r="G124" s="60" t="s">
        <v>281</v>
      </c>
      <c r="H124" s="61">
        <v>0</v>
      </c>
      <c r="I124" s="61">
        <v>1</v>
      </c>
      <c r="J124" s="61">
        <v>10.7</v>
      </c>
      <c r="K124" s="61">
        <v>11.7</v>
      </c>
      <c r="L124" s="61">
        <v>14.5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</row>
    <row r="125" spans="1:17" s="45" customFormat="1" ht="16.5" customHeight="1">
      <c r="A125" s="66"/>
      <c r="B125" s="66"/>
      <c r="C125" s="66"/>
      <c r="D125" s="66"/>
      <c r="E125" s="66"/>
      <c r="F125" s="66"/>
      <c r="G125" s="68" t="s">
        <v>282</v>
      </c>
      <c r="H125" s="61">
        <f>R127/10000</f>
        <v>0</v>
      </c>
      <c r="I125" s="61">
        <v>13.6</v>
      </c>
      <c r="J125" s="61">
        <v>62.02</v>
      </c>
      <c r="K125" s="61">
        <v>15.75</v>
      </c>
      <c r="L125" s="61">
        <v>62.78</v>
      </c>
      <c r="M125" s="72">
        <v>42.86</v>
      </c>
      <c r="N125" s="72">
        <v>36.01</v>
      </c>
      <c r="O125" s="72">
        <v>0</v>
      </c>
      <c r="P125" s="71">
        <f t="shared" si="19"/>
        <v>0.8401773215118992</v>
      </c>
      <c r="Q125" s="71">
        <f aca="true" t="shared" si="20" ref="Q125:Q132">O125/N125-1</f>
        <v>-1</v>
      </c>
    </row>
    <row r="126" spans="1:17" s="45" customFormat="1" ht="16.5" customHeight="1">
      <c r="A126" s="67"/>
      <c r="B126" s="67"/>
      <c r="C126" s="67"/>
      <c r="D126" s="67"/>
      <c r="E126" s="67"/>
      <c r="F126" s="67"/>
      <c r="G126" s="56" t="s">
        <v>283</v>
      </c>
      <c r="H126" s="59">
        <v>6.33</v>
      </c>
      <c r="I126" s="59">
        <v>456.31</v>
      </c>
      <c r="J126" s="59">
        <v>6.6</v>
      </c>
      <c r="K126" s="59">
        <v>8.52</v>
      </c>
      <c r="L126" s="59">
        <v>44.35</v>
      </c>
      <c r="M126" s="70">
        <v>10</v>
      </c>
      <c r="N126" s="70">
        <f>SUM(N127:N130)</f>
        <v>5</v>
      </c>
      <c r="O126" s="70">
        <v>28.38</v>
      </c>
      <c r="P126" s="71">
        <f t="shared" si="19"/>
        <v>0.5</v>
      </c>
      <c r="Q126" s="71">
        <f t="shared" si="20"/>
        <v>4.676</v>
      </c>
    </row>
    <row r="127" spans="1:17" s="45" customFormat="1" ht="16.5" customHeight="1">
      <c r="A127" s="66"/>
      <c r="B127" s="66"/>
      <c r="C127" s="66"/>
      <c r="D127" s="66"/>
      <c r="E127" s="66"/>
      <c r="F127" s="66"/>
      <c r="G127" s="60" t="s">
        <v>284</v>
      </c>
      <c r="H127" s="61">
        <f>R129/10000</f>
        <v>0</v>
      </c>
      <c r="I127" s="59">
        <v>0</v>
      </c>
      <c r="J127" s="61">
        <v>0</v>
      </c>
      <c r="K127" s="61">
        <v>0.6</v>
      </c>
      <c r="L127" s="61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</row>
    <row r="128" spans="1:17" s="44" customFormat="1" ht="16.5" customHeight="1">
      <c r="A128" s="66"/>
      <c r="B128" s="66"/>
      <c r="C128" s="66"/>
      <c r="D128" s="66"/>
      <c r="E128" s="66"/>
      <c r="F128" s="66"/>
      <c r="G128" s="60" t="s">
        <v>285</v>
      </c>
      <c r="H128" s="61">
        <v>4.6</v>
      </c>
      <c r="I128" s="61">
        <v>4.6</v>
      </c>
      <c r="J128" s="61">
        <v>4.6</v>
      </c>
      <c r="K128" s="61">
        <v>0</v>
      </c>
      <c r="L128" s="61">
        <v>6.35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</row>
    <row r="129" spans="1:17" s="45" customFormat="1" ht="16.5" customHeight="1">
      <c r="A129" s="66"/>
      <c r="B129" s="66"/>
      <c r="C129" s="66"/>
      <c r="D129" s="66"/>
      <c r="E129" s="66"/>
      <c r="F129" s="66"/>
      <c r="G129" s="60" t="s">
        <v>286</v>
      </c>
      <c r="H129" s="61">
        <v>1.73</v>
      </c>
      <c r="I129" s="61">
        <v>1.71</v>
      </c>
      <c r="J129" s="61">
        <v>2</v>
      </c>
      <c r="K129" s="61">
        <v>1.92</v>
      </c>
      <c r="L129" s="61">
        <v>2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</row>
    <row r="130" spans="1:17" s="45" customFormat="1" ht="16.5" customHeight="1">
      <c r="A130" s="66"/>
      <c r="B130" s="66"/>
      <c r="C130" s="66"/>
      <c r="D130" s="66"/>
      <c r="E130" s="66"/>
      <c r="F130" s="66"/>
      <c r="G130" s="60" t="s">
        <v>287</v>
      </c>
      <c r="H130" s="61" t="e">
        <f>#REF!/10000</f>
        <v>#REF!</v>
      </c>
      <c r="I130" s="61">
        <v>450</v>
      </c>
      <c r="J130" s="61">
        <v>0</v>
      </c>
      <c r="K130" s="61">
        <v>6</v>
      </c>
      <c r="L130" s="61">
        <v>36</v>
      </c>
      <c r="M130" s="72">
        <v>10</v>
      </c>
      <c r="N130" s="72">
        <v>5</v>
      </c>
      <c r="O130" s="72">
        <v>28.38</v>
      </c>
      <c r="P130" s="71">
        <f t="shared" si="19"/>
        <v>0.5</v>
      </c>
      <c r="Q130" s="71">
        <f t="shared" si="20"/>
        <v>4.676</v>
      </c>
    </row>
    <row r="131" spans="1:17" s="45" customFormat="1" ht="16.5" customHeight="1">
      <c r="A131" s="66"/>
      <c r="B131" s="66"/>
      <c r="C131" s="66"/>
      <c r="D131" s="66"/>
      <c r="E131" s="66"/>
      <c r="F131" s="66"/>
      <c r="G131" s="56" t="s">
        <v>288</v>
      </c>
      <c r="H131" s="59">
        <v>351.3</v>
      </c>
      <c r="I131" s="59">
        <v>186.36</v>
      </c>
      <c r="J131" s="59">
        <v>446.24</v>
      </c>
      <c r="K131" s="59">
        <v>153.11</v>
      </c>
      <c r="L131" s="59">
        <f>L132</f>
        <v>888.41</v>
      </c>
      <c r="M131" s="70">
        <v>187.66</v>
      </c>
      <c r="N131" s="70">
        <f>SUM(N132:N133)</f>
        <v>153.58</v>
      </c>
      <c r="O131" s="70">
        <v>188.72</v>
      </c>
      <c r="P131" s="71">
        <f t="shared" si="19"/>
        <v>0.8183949696259193</v>
      </c>
      <c r="Q131" s="71">
        <f t="shared" si="20"/>
        <v>0.22880583409298083</v>
      </c>
    </row>
    <row r="132" spans="1:17" s="45" customFormat="1" ht="16.5" customHeight="1">
      <c r="A132" s="66"/>
      <c r="B132" s="66"/>
      <c r="C132" s="66"/>
      <c r="D132" s="66"/>
      <c r="E132" s="66"/>
      <c r="F132" s="66"/>
      <c r="G132" s="60" t="s">
        <v>289</v>
      </c>
      <c r="H132" s="61">
        <v>351.3</v>
      </c>
      <c r="I132" s="61">
        <v>184.36</v>
      </c>
      <c r="J132" s="61">
        <v>446.24</v>
      </c>
      <c r="K132" s="61">
        <v>153.11</v>
      </c>
      <c r="L132" s="61">
        <v>888.41</v>
      </c>
      <c r="M132" s="72">
        <v>187.66</v>
      </c>
      <c r="N132" s="72">
        <v>153.58</v>
      </c>
      <c r="O132" s="72">
        <v>188.72</v>
      </c>
      <c r="P132" s="71">
        <f t="shared" si="19"/>
        <v>0.8183949696259193</v>
      </c>
      <c r="Q132" s="71">
        <f t="shared" si="20"/>
        <v>0.22880583409298083</v>
      </c>
    </row>
    <row r="133" spans="1:17" s="45" customFormat="1" ht="16.5" customHeight="1">
      <c r="A133" s="66"/>
      <c r="B133" s="66"/>
      <c r="C133" s="66"/>
      <c r="D133" s="66"/>
      <c r="E133" s="66"/>
      <c r="F133" s="66"/>
      <c r="G133" s="60" t="s">
        <v>290</v>
      </c>
      <c r="H133" s="59">
        <v>0</v>
      </c>
      <c r="I133" s="61">
        <v>2</v>
      </c>
      <c r="J133" s="59">
        <v>0</v>
      </c>
      <c r="K133" s="59">
        <v>0</v>
      </c>
      <c r="L133" s="59"/>
      <c r="M133" s="70">
        <v>0</v>
      </c>
      <c r="N133" s="72">
        <v>0</v>
      </c>
      <c r="O133" s="70">
        <v>0</v>
      </c>
      <c r="P133" s="72">
        <v>0</v>
      </c>
      <c r="Q133" s="70">
        <v>0</v>
      </c>
    </row>
    <row r="134" spans="1:17" s="45" customFormat="1" ht="16.5" customHeight="1">
      <c r="A134" s="67"/>
      <c r="B134" s="67"/>
      <c r="C134" s="67"/>
      <c r="D134" s="67"/>
      <c r="E134" s="67"/>
      <c r="F134" s="67"/>
      <c r="G134" s="56" t="s">
        <v>291</v>
      </c>
      <c r="H134" s="59">
        <v>1000</v>
      </c>
      <c r="I134" s="59">
        <v>22</v>
      </c>
      <c r="J134" s="59">
        <v>760</v>
      </c>
      <c r="K134" s="59">
        <v>0</v>
      </c>
      <c r="L134" s="59">
        <v>1200</v>
      </c>
      <c r="M134" s="72">
        <v>0</v>
      </c>
      <c r="N134" s="72">
        <v>0</v>
      </c>
      <c r="O134" s="70">
        <v>1000</v>
      </c>
      <c r="P134" s="72">
        <v>0</v>
      </c>
      <c r="Q134" s="70">
        <v>0</v>
      </c>
    </row>
    <row r="135" spans="1:17" s="45" customFormat="1" ht="16.5" customHeight="1">
      <c r="A135" s="66"/>
      <c r="B135" s="66"/>
      <c r="C135" s="66"/>
      <c r="D135" s="66"/>
      <c r="E135" s="66"/>
      <c r="F135" s="66"/>
      <c r="G135" s="56" t="s">
        <v>292</v>
      </c>
      <c r="H135" s="59">
        <v>3.94</v>
      </c>
      <c r="I135" s="59">
        <v>400.78</v>
      </c>
      <c r="J135" s="59">
        <v>2.66</v>
      </c>
      <c r="K135" s="59">
        <v>1.55</v>
      </c>
      <c r="L135" s="59">
        <v>2.41</v>
      </c>
      <c r="M135" s="70">
        <v>2.2</v>
      </c>
      <c r="N135" s="70">
        <v>1.89</v>
      </c>
      <c r="O135" s="70">
        <v>1.95</v>
      </c>
      <c r="P135" s="71">
        <f aca="true" t="shared" si="21" ref="P135:P162">N135/M135</f>
        <v>0.859090909090909</v>
      </c>
      <c r="Q135" s="71">
        <f aca="true" t="shared" si="22" ref="Q135:Q140">O135/N135-1</f>
        <v>0.031746031746031855</v>
      </c>
    </row>
    <row r="136" spans="1:17" s="45" customFormat="1" ht="16.5" customHeight="1">
      <c r="A136" s="66"/>
      <c r="B136" s="66"/>
      <c r="C136" s="66"/>
      <c r="D136" s="66"/>
      <c r="E136" s="66"/>
      <c r="F136" s="66"/>
      <c r="G136" s="60" t="s">
        <v>293</v>
      </c>
      <c r="H136" s="59"/>
      <c r="I136" s="59"/>
      <c r="J136" s="59">
        <v>0</v>
      </c>
      <c r="K136" s="59">
        <v>0</v>
      </c>
      <c r="L136" s="61">
        <v>2.16</v>
      </c>
      <c r="M136" s="72">
        <v>2.2</v>
      </c>
      <c r="N136" s="72">
        <v>1.83</v>
      </c>
      <c r="O136" s="72">
        <v>1.95</v>
      </c>
      <c r="P136" s="71">
        <f t="shared" si="21"/>
        <v>0.8318181818181818</v>
      </c>
      <c r="Q136" s="71">
        <f t="shared" si="22"/>
        <v>0.06557377049180313</v>
      </c>
    </row>
    <row r="137" spans="1:17" s="45" customFormat="1" ht="16.5" customHeight="1">
      <c r="A137" s="66"/>
      <c r="B137" s="66"/>
      <c r="C137" s="66"/>
      <c r="D137" s="66"/>
      <c r="E137" s="66"/>
      <c r="F137" s="66"/>
      <c r="G137" s="60" t="s">
        <v>294</v>
      </c>
      <c r="H137" s="61" t="e">
        <f>#REF!/10000</f>
        <v>#REF!</v>
      </c>
      <c r="I137" s="61">
        <v>400</v>
      </c>
      <c r="J137" s="61">
        <v>0</v>
      </c>
      <c r="K137" s="61">
        <v>0</v>
      </c>
      <c r="L137" s="61">
        <v>0</v>
      </c>
      <c r="M137" s="72">
        <v>0</v>
      </c>
      <c r="N137" s="72">
        <v>0</v>
      </c>
      <c r="O137" s="72">
        <v>0</v>
      </c>
      <c r="P137" s="72">
        <v>0</v>
      </c>
      <c r="Q137" s="70">
        <v>0</v>
      </c>
    </row>
    <row r="138" spans="1:17" s="45" customFormat="1" ht="16.5" customHeight="1">
      <c r="A138" s="66"/>
      <c r="B138" s="66"/>
      <c r="C138" s="66"/>
      <c r="D138" s="66"/>
      <c r="E138" s="66"/>
      <c r="F138" s="66"/>
      <c r="G138" s="60" t="s">
        <v>295</v>
      </c>
      <c r="H138" s="61">
        <v>3.94</v>
      </c>
      <c r="I138" s="61">
        <v>0.78</v>
      </c>
      <c r="J138" s="61">
        <v>2.66</v>
      </c>
      <c r="K138" s="61">
        <v>1.55</v>
      </c>
      <c r="L138" s="61">
        <v>0.25</v>
      </c>
      <c r="M138" s="72">
        <v>0</v>
      </c>
      <c r="N138" s="72">
        <v>0.06</v>
      </c>
      <c r="O138" s="72">
        <v>0</v>
      </c>
      <c r="P138" s="72">
        <v>0</v>
      </c>
      <c r="Q138" s="70">
        <v>0</v>
      </c>
    </row>
    <row r="139" spans="1:17" s="45" customFormat="1" ht="16.5" customHeight="1">
      <c r="A139" s="66"/>
      <c r="B139" s="66"/>
      <c r="C139" s="66"/>
      <c r="D139" s="66"/>
      <c r="E139" s="66"/>
      <c r="F139" s="66"/>
      <c r="G139" s="56" t="s">
        <v>296</v>
      </c>
      <c r="H139" s="59">
        <v>1688.91</v>
      </c>
      <c r="I139" s="59">
        <v>303.03</v>
      </c>
      <c r="J139" s="59">
        <v>1323.16</v>
      </c>
      <c r="K139" s="59">
        <v>423.28</v>
      </c>
      <c r="L139" s="59">
        <f>SUM(L140:L142)</f>
        <v>434.09000000000003</v>
      </c>
      <c r="M139" s="70">
        <v>464.41</v>
      </c>
      <c r="N139" s="70">
        <f>SUM(N140:N142)</f>
        <v>459.4</v>
      </c>
      <c r="O139" s="70">
        <v>522.95</v>
      </c>
      <c r="P139" s="71">
        <f t="shared" si="21"/>
        <v>0.9892121186020972</v>
      </c>
      <c r="Q139" s="71">
        <f t="shared" si="22"/>
        <v>0.1383326077492384</v>
      </c>
    </row>
    <row r="140" spans="1:17" s="45" customFormat="1" ht="16.5" customHeight="1">
      <c r="A140" s="66"/>
      <c r="B140" s="66"/>
      <c r="C140" s="66"/>
      <c r="D140" s="66"/>
      <c r="E140" s="66"/>
      <c r="F140" s="66"/>
      <c r="G140" s="60" t="s">
        <v>297</v>
      </c>
      <c r="H140" s="61">
        <v>1352.99</v>
      </c>
      <c r="I140" s="61">
        <v>10.53</v>
      </c>
      <c r="J140" s="61">
        <v>954.8</v>
      </c>
      <c r="K140" s="61">
        <v>107.87</v>
      </c>
      <c r="L140" s="61">
        <v>11.58</v>
      </c>
      <c r="M140" s="72">
        <v>2.06</v>
      </c>
      <c r="N140" s="72">
        <v>1.2</v>
      </c>
      <c r="O140" s="72">
        <v>0</v>
      </c>
      <c r="P140" s="71">
        <f t="shared" si="21"/>
        <v>0.5825242718446602</v>
      </c>
      <c r="Q140" s="71">
        <f aca="true" t="shared" si="23" ref="Q140:Q156">O140/N140-1</f>
        <v>-1</v>
      </c>
    </row>
    <row r="141" spans="1:17" s="45" customFormat="1" ht="16.5" customHeight="1">
      <c r="A141" s="66"/>
      <c r="B141" s="66"/>
      <c r="C141" s="66"/>
      <c r="D141" s="66"/>
      <c r="E141" s="66"/>
      <c r="F141" s="66"/>
      <c r="G141" s="60" t="s">
        <v>298</v>
      </c>
      <c r="H141" s="61">
        <v>335.92</v>
      </c>
      <c r="I141" s="61">
        <v>292.5</v>
      </c>
      <c r="J141" s="61">
        <v>368.36</v>
      </c>
      <c r="K141" s="61">
        <v>315.41</v>
      </c>
      <c r="L141" s="61">
        <v>420.35</v>
      </c>
      <c r="M141" s="72">
        <v>460.3</v>
      </c>
      <c r="N141" s="72">
        <v>458.2</v>
      </c>
      <c r="O141" s="72">
        <v>521</v>
      </c>
      <c r="P141" s="71">
        <f t="shared" si="21"/>
        <v>0.9954377579839235</v>
      </c>
      <c r="Q141" s="71">
        <f t="shared" si="23"/>
        <v>0.13705805325185505</v>
      </c>
    </row>
    <row r="142" spans="1:17" s="45" customFormat="1" ht="16.5" customHeight="1">
      <c r="A142" s="66"/>
      <c r="B142" s="66"/>
      <c r="C142" s="66"/>
      <c r="D142" s="66"/>
      <c r="E142" s="66"/>
      <c r="F142" s="66"/>
      <c r="G142" s="60" t="s">
        <v>299</v>
      </c>
      <c r="H142" s="61"/>
      <c r="I142" s="61"/>
      <c r="J142" s="61">
        <v>0</v>
      </c>
      <c r="K142" s="61">
        <v>0</v>
      </c>
      <c r="L142" s="61">
        <v>2.16</v>
      </c>
      <c r="M142" s="72">
        <v>2.05</v>
      </c>
      <c r="N142" s="72">
        <v>0</v>
      </c>
      <c r="O142" s="72">
        <v>1.95</v>
      </c>
      <c r="P142" s="71">
        <f t="shared" si="21"/>
        <v>0</v>
      </c>
      <c r="Q142" s="72">
        <v>0</v>
      </c>
    </row>
    <row r="143" spans="1:17" s="45" customFormat="1" ht="16.5" customHeight="1">
      <c r="A143" s="66"/>
      <c r="B143" s="66"/>
      <c r="C143" s="66"/>
      <c r="D143" s="66"/>
      <c r="E143" s="66"/>
      <c r="F143" s="66"/>
      <c r="G143" s="56" t="s">
        <v>300</v>
      </c>
      <c r="H143" s="61"/>
      <c r="I143" s="61"/>
      <c r="J143" s="61"/>
      <c r="K143" s="61"/>
      <c r="L143" s="59">
        <v>0</v>
      </c>
      <c r="M143" s="70">
        <v>302.57</v>
      </c>
      <c r="N143" s="70">
        <f>SUM(N144:N145)</f>
        <v>302.55</v>
      </c>
      <c r="O143" s="70">
        <v>52.53</v>
      </c>
      <c r="P143" s="71">
        <f t="shared" si="21"/>
        <v>0.9999338995934826</v>
      </c>
      <c r="Q143" s="71">
        <f t="shared" si="23"/>
        <v>-0.8263758056519583</v>
      </c>
    </row>
    <row r="144" spans="1:17" s="45" customFormat="1" ht="16.5" customHeight="1">
      <c r="A144" s="66"/>
      <c r="B144" s="66"/>
      <c r="C144" s="66"/>
      <c r="D144" s="66"/>
      <c r="E144" s="66"/>
      <c r="F144" s="66"/>
      <c r="G144" s="60" t="s">
        <v>301</v>
      </c>
      <c r="H144" s="61"/>
      <c r="I144" s="61"/>
      <c r="J144" s="61"/>
      <c r="K144" s="61"/>
      <c r="L144" s="59"/>
      <c r="M144" s="72">
        <v>250.57</v>
      </c>
      <c r="N144" s="72">
        <v>250.55</v>
      </c>
      <c r="O144" s="72">
        <v>0.03</v>
      </c>
      <c r="P144" s="71">
        <f t="shared" si="21"/>
        <v>0.9999201819850742</v>
      </c>
      <c r="Q144" s="71">
        <f t="shared" si="23"/>
        <v>-0.999880263420475</v>
      </c>
    </row>
    <row r="145" spans="1:17" s="45" customFormat="1" ht="16.5" customHeight="1">
      <c r="A145" s="66"/>
      <c r="B145" s="66"/>
      <c r="C145" s="66"/>
      <c r="D145" s="66"/>
      <c r="E145" s="66"/>
      <c r="F145" s="66"/>
      <c r="G145" s="60" t="s">
        <v>302</v>
      </c>
      <c r="H145" s="61"/>
      <c r="I145" s="61"/>
      <c r="J145" s="61"/>
      <c r="K145" s="61"/>
      <c r="L145" s="61">
        <v>0</v>
      </c>
      <c r="M145" s="72">
        <v>52</v>
      </c>
      <c r="N145" s="72">
        <v>52</v>
      </c>
      <c r="O145" s="72">
        <v>52.5</v>
      </c>
      <c r="P145" s="71">
        <f t="shared" si="21"/>
        <v>1</v>
      </c>
      <c r="Q145" s="71">
        <f t="shared" si="23"/>
        <v>0.009615384615384581</v>
      </c>
    </row>
    <row r="146" spans="1:17" s="45" customFormat="1" ht="16.5" customHeight="1">
      <c r="A146" s="66"/>
      <c r="B146" s="66"/>
      <c r="C146" s="66"/>
      <c r="D146" s="66"/>
      <c r="E146" s="66"/>
      <c r="F146" s="66"/>
      <c r="G146" s="56" t="s">
        <v>303</v>
      </c>
      <c r="H146" s="61"/>
      <c r="I146" s="61"/>
      <c r="J146" s="61"/>
      <c r="K146" s="61"/>
      <c r="L146" s="61"/>
      <c r="M146" s="72">
        <v>0</v>
      </c>
      <c r="N146" s="72">
        <v>0</v>
      </c>
      <c r="O146" s="70">
        <v>476.55</v>
      </c>
      <c r="P146" s="72">
        <v>0</v>
      </c>
      <c r="Q146" s="72">
        <v>0</v>
      </c>
    </row>
    <row r="147" spans="1:17" s="45" customFormat="1" ht="16.5" customHeight="1">
      <c r="A147" s="66"/>
      <c r="B147" s="66"/>
      <c r="C147" s="66"/>
      <c r="D147" s="66"/>
      <c r="E147" s="66"/>
      <c r="F147" s="66"/>
      <c r="G147" s="60" t="s">
        <v>304</v>
      </c>
      <c r="H147" s="61"/>
      <c r="I147" s="61"/>
      <c r="J147" s="61"/>
      <c r="K147" s="61"/>
      <c r="L147" s="61"/>
      <c r="M147" s="72">
        <v>0</v>
      </c>
      <c r="N147" s="72">
        <v>0</v>
      </c>
      <c r="O147" s="72">
        <v>77.79</v>
      </c>
      <c r="P147" s="72">
        <v>0</v>
      </c>
      <c r="Q147" s="72">
        <v>0</v>
      </c>
    </row>
    <row r="148" spans="1:17" s="45" customFormat="1" ht="16.5" customHeight="1">
      <c r="A148" s="66"/>
      <c r="B148" s="66"/>
      <c r="C148" s="66"/>
      <c r="D148" s="66"/>
      <c r="E148" s="66"/>
      <c r="F148" s="66"/>
      <c r="G148" s="60" t="s">
        <v>305</v>
      </c>
      <c r="H148" s="61"/>
      <c r="I148" s="61"/>
      <c r="J148" s="61"/>
      <c r="K148" s="61"/>
      <c r="L148" s="61"/>
      <c r="M148" s="72">
        <v>0</v>
      </c>
      <c r="N148" s="72">
        <v>0</v>
      </c>
      <c r="O148" s="72">
        <v>398.76</v>
      </c>
      <c r="P148" s="72">
        <v>0</v>
      </c>
      <c r="Q148" s="72">
        <v>0</v>
      </c>
    </row>
    <row r="149" spans="1:17" s="45" customFormat="1" ht="16.5" customHeight="1">
      <c r="A149" s="66"/>
      <c r="B149" s="66"/>
      <c r="C149" s="66"/>
      <c r="D149" s="66"/>
      <c r="E149" s="66"/>
      <c r="F149" s="66"/>
      <c r="G149" s="56" t="s">
        <v>306</v>
      </c>
      <c r="H149" s="59">
        <v>0</v>
      </c>
      <c r="I149" s="59">
        <v>0</v>
      </c>
      <c r="J149" s="59">
        <v>0</v>
      </c>
      <c r="K149" s="59">
        <v>2.08</v>
      </c>
      <c r="L149" s="59">
        <v>15</v>
      </c>
      <c r="M149" s="70">
        <v>13.62</v>
      </c>
      <c r="N149" s="70">
        <v>13.62</v>
      </c>
      <c r="O149" s="70">
        <v>13.7</v>
      </c>
      <c r="P149" s="71">
        <f t="shared" si="21"/>
        <v>1</v>
      </c>
      <c r="Q149" s="71">
        <f t="shared" si="23"/>
        <v>0.005873715124816492</v>
      </c>
    </row>
    <row r="150" spans="1:17" s="45" customFormat="1" ht="16.5" customHeight="1">
      <c r="A150" s="66"/>
      <c r="B150" s="66"/>
      <c r="C150" s="66"/>
      <c r="D150" s="66"/>
      <c r="E150" s="66"/>
      <c r="F150" s="66"/>
      <c r="G150" s="60" t="s">
        <v>307</v>
      </c>
      <c r="H150" s="59"/>
      <c r="I150" s="59"/>
      <c r="J150" s="61">
        <v>0</v>
      </c>
      <c r="K150" s="61">
        <v>2.08</v>
      </c>
      <c r="L150" s="61">
        <v>15</v>
      </c>
      <c r="M150" s="72">
        <v>13.62</v>
      </c>
      <c r="N150" s="72">
        <v>13.62</v>
      </c>
      <c r="O150" s="72">
        <v>13.7</v>
      </c>
      <c r="P150" s="71">
        <f t="shared" si="21"/>
        <v>1</v>
      </c>
      <c r="Q150" s="71">
        <f t="shared" si="23"/>
        <v>0.005873715124816492</v>
      </c>
    </row>
    <row r="151" spans="1:17" s="45" customFormat="1" ht="16.5" customHeight="1">
      <c r="A151" s="66"/>
      <c r="B151" s="66"/>
      <c r="C151" s="66"/>
      <c r="D151" s="66"/>
      <c r="E151" s="66"/>
      <c r="F151" s="66"/>
      <c r="G151" s="56" t="s">
        <v>308</v>
      </c>
      <c r="H151" s="59"/>
      <c r="I151" s="59"/>
      <c r="J151" s="61"/>
      <c r="K151" s="61"/>
      <c r="L151" s="61"/>
      <c r="M151" s="72">
        <v>0</v>
      </c>
      <c r="N151" s="72">
        <v>0</v>
      </c>
      <c r="O151" s="70">
        <v>41.5</v>
      </c>
      <c r="P151" s="72">
        <v>0</v>
      </c>
      <c r="Q151" s="72">
        <v>0</v>
      </c>
    </row>
    <row r="152" spans="1:17" s="45" customFormat="1" ht="16.5" customHeight="1">
      <c r="A152" s="66"/>
      <c r="B152" s="66"/>
      <c r="C152" s="66"/>
      <c r="D152" s="66"/>
      <c r="E152" s="66"/>
      <c r="F152" s="66"/>
      <c r="G152" s="60" t="s">
        <v>309</v>
      </c>
      <c r="H152" s="59"/>
      <c r="I152" s="59"/>
      <c r="J152" s="61"/>
      <c r="K152" s="61"/>
      <c r="L152" s="61"/>
      <c r="M152" s="72">
        <v>0</v>
      </c>
      <c r="N152" s="72">
        <v>0</v>
      </c>
      <c r="O152" s="72">
        <v>41.5</v>
      </c>
      <c r="P152" s="72">
        <v>0</v>
      </c>
      <c r="Q152" s="72">
        <v>0</v>
      </c>
    </row>
    <row r="153" spans="1:17" s="45" customFormat="1" ht="16.5" customHeight="1">
      <c r="A153" s="66"/>
      <c r="B153" s="66"/>
      <c r="C153" s="66"/>
      <c r="D153" s="66"/>
      <c r="E153" s="66"/>
      <c r="F153" s="66"/>
      <c r="G153" s="56" t="s">
        <v>310</v>
      </c>
      <c r="H153" s="59"/>
      <c r="I153" s="59"/>
      <c r="J153" s="61"/>
      <c r="K153" s="61"/>
      <c r="L153" s="61"/>
      <c r="M153" s="70">
        <v>3450</v>
      </c>
      <c r="N153" s="70">
        <v>3000</v>
      </c>
      <c r="O153" s="70">
        <v>6000</v>
      </c>
      <c r="P153" s="71">
        <f t="shared" si="21"/>
        <v>0.8695652173913043</v>
      </c>
      <c r="Q153" s="71">
        <f t="shared" si="23"/>
        <v>1</v>
      </c>
    </row>
    <row r="154" spans="1:17" s="45" customFormat="1" ht="16.5" customHeight="1">
      <c r="A154" s="66"/>
      <c r="B154" s="66"/>
      <c r="C154" s="66"/>
      <c r="D154" s="66"/>
      <c r="E154" s="66"/>
      <c r="F154" s="66"/>
      <c r="G154" s="56" t="s">
        <v>311</v>
      </c>
      <c r="H154" s="59"/>
      <c r="I154" s="59"/>
      <c r="J154" s="61"/>
      <c r="K154" s="61"/>
      <c r="L154" s="61"/>
      <c r="M154" s="70">
        <v>3500</v>
      </c>
      <c r="N154" s="70">
        <v>1843.7</v>
      </c>
      <c r="O154" s="70">
        <v>0</v>
      </c>
      <c r="P154" s="71">
        <f t="shared" si="21"/>
        <v>0.5267714285714286</v>
      </c>
      <c r="Q154" s="71">
        <f t="shared" si="23"/>
        <v>-1</v>
      </c>
    </row>
    <row r="155" spans="1:17" s="45" customFormat="1" ht="16.5" customHeight="1">
      <c r="A155" s="66"/>
      <c r="B155" s="66"/>
      <c r="C155" s="66"/>
      <c r="D155" s="66"/>
      <c r="E155" s="66"/>
      <c r="F155" s="66"/>
      <c r="G155" s="56" t="s">
        <v>312</v>
      </c>
      <c r="H155" s="59"/>
      <c r="I155" s="59"/>
      <c r="J155" s="61"/>
      <c r="K155" s="61"/>
      <c r="L155" s="61"/>
      <c r="M155" s="70">
        <v>1093.67</v>
      </c>
      <c r="N155" s="70">
        <v>8828.13</v>
      </c>
      <c r="O155" s="70">
        <v>113.08</v>
      </c>
      <c r="P155" s="71">
        <f t="shared" si="21"/>
        <v>8.072023553722785</v>
      </c>
      <c r="Q155" s="71">
        <f t="shared" si="23"/>
        <v>-0.9871909453077832</v>
      </c>
    </row>
    <row r="156" spans="1:17" s="44" customFormat="1" ht="16.5" customHeight="1">
      <c r="A156" s="75" t="s">
        <v>313</v>
      </c>
      <c r="B156" s="76">
        <f>B6+B18+B27+B29+B25</f>
        <v>44357.75</v>
      </c>
      <c r="C156" s="76">
        <f>C6+C18+C27+C29+C25</f>
        <v>47547.67</v>
      </c>
      <c r="D156" s="76">
        <f>D6+D18+D27+D29+D25</f>
        <v>45818.37</v>
      </c>
      <c r="E156" s="77">
        <f>C156/B156</f>
        <v>1.0719134762245606</v>
      </c>
      <c r="F156" s="58">
        <f aca="true" t="shared" si="24" ref="F156:F160">D156/C156-1</f>
        <v>-0.03636981580800902</v>
      </c>
      <c r="G156" s="75" t="s">
        <v>314</v>
      </c>
      <c r="H156" s="59" t="e">
        <f>H7+H33+H41+H50+H56+H63+H80+H92+H101+H108+H116+H120+H126+#REF!+#REF!+#REF!+#REF!+#REF!+#REF!+#REF!</f>
        <v>#REF!</v>
      </c>
      <c r="I156" s="59" t="e">
        <f>I7+I33+I41+I50+I56+I63+I80+I92+I101+I108+I116+I120+I126+#REF!+#REF!+#REF!+#REF!+#REF!+#REF!+#REF!</f>
        <v>#REF!</v>
      </c>
      <c r="J156" s="59" t="e">
        <f>J7+J33+J41+J50+J56+J63+J80+J92+J101+J108+J116+J120+J126+#REF!+#REF!+#REF!+#REF!+#REF!+#REF!+#REF!+#REF!+#REF!</f>
        <v>#REF!</v>
      </c>
      <c r="K156" s="59" t="e">
        <f>K7+K33+K41+K50+K56+K63+K80+K92+K101+K108+K116+K120+K126+#REF!+#REF!+#REF!+#REF!+#REF!+#REF!+#REF!+#REF!+#REF!</f>
        <v>#REF!</v>
      </c>
      <c r="L156" s="59" t="e">
        <f>L7+L33+L41+L50+L56+L63+L80+L92+L101+L108+L116+L120+L126+#REF!+#REF!+#REF!+#REF!+#REF!+#REF!+#REF!+#REF!+#REF!</f>
        <v>#REF!</v>
      </c>
      <c r="M156" s="70">
        <f aca="true" t="shared" si="25" ref="M156:O156">M6</f>
        <v>44357.75000000001</v>
      </c>
      <c r="N156" s="70">
        <f t="shared" si="25"/>
        <v>47547.670000000006</v>
      </c>
      <c r="O156" s="70">
        <f t="shared" si="25"/>
        <v>45818.369999999995</v>
      </c>
      <c r="P156" s="71">
        <f t="shared" si="21"/>
        <v>1.0719134762245606</v>
      </c>
      <c r="Q156" s="71">
        <f t="shared" si="23"/>
        <v>-0.036369815808009354</v>
      </c>
    </row>
    <row r="157" spans="1:17" s="44" customFormat="1" ht="16.5" customHeight="1">
      <c r="A157" s="56" t="s">
        <v>315</v>
      </c>
      <c r="B157" s="78"/>
      <c r="C157" s="78"/>
      <c r="D157" s="78"/>
      <c r="E157" s="63"/>
      <c r="F157" s="63"/>
      <c r="G157" s="56"/>
      <c r="H157" s="79"/>
      <c r="I157" s="79"/>
      <c r="J157" s="79"/>
      <c r="K157" s="79"/>
      <c r="L157" s="79"/>
      <c r="M157" s="85"/>
      <c r="N157" s="85"/>
      <c r="O157" s="85"/>
      <c r="P157" s="71"/>
      <c r="Q157" s="71"/>
    </row>
    <row r="158" spans="1:17" s="44" customFormat="1" ht="16.5" customHeight="1">
      <c r="A158" s="56" t="s">
        <v>316</v>
      </c>
      <c r="B158" s="70">
        <f>B159+B160+B161</f>
        <v>4055</v>
      </c>
      <c r="C158" s="70">
        <f>C159+C160+C161</f>
        <v>4086.81</v>
      </c>
      <c r="D158" s="70">
        <f>D159+D160+D161</f>
        <v>4091</v>
      </c>
      <c r="E158" s="77">
        <f aca="true" t="shared" si="26" ref="E158:E162">C158/B158</f>
        <v>1.0078446362515412</v>
      </c>
      <c r="F158" s="58">
        <f t="shared" si="24"/>
        <v>0.0010252495222435876</v>
      </c>
      <c r="G158" s="56" t="s">
        <v>317</v>
      </c>
      <c r="H158" s="79"/>
      <c r="I158" s="79"/>
      <c r="J158" s="79"/>
      <c r="K158" s="79"/>
      <c r="L158" s="79"/>
      <c r="M158" s="76">
        <f aca="true" t="shared" si="27" ref="M158:O158">M159+M160+M161</f>
        <v>4055</v>
      </c>
      <c r="N158" s="76">
        <f t="shared" si="27"/>
        <v>4086.81</v>
      </c>
      <c r="O158" s="76">
        <f t="shared" si="27"/>
        <v>4091</v>
      </c>
      <c r="P158" s="71">
        <f t="shared" si="21"/>
        <v>1.0078446362515412</v>
      </c>
      <c r="Q158" s="71">
        <f aca="true" t="shared" si="28" ref="Q158:Q162">O158/N158-1</f>
        <v>0.0010252495222435876</v>
      </c>
    </row>
    <row r="159" spans="1:17" s="44" customFormat="1" ht="16.5" customHeight="1">
      <c r="A159" s="60" t="s">
        <v>318</v>
      </c>
      <c r="B159" s="72">
        <v>4019</v>
      </c>
      <c r="C159" s="72">
        <v>4052.71</v>
      </c>
      <c r="D159" s="80">
        <v>4036</v>
      </c>
      <c r="E159" s="81">
        <f t="shared" si="26"/>
        <v>1.0083876586215477</v>
      </c>
      <c r="F159" s="82">
        <f t="shared" si="24"/>
        <v>-0.0041231669672885385</v>
      </c>
      <c r="G159" s="60" t="s">
        <v>123</v>
      </c>
      <c r="H159" s="79"/>
      <c r="I159" s="79"/>
      <c r="J159" s="79"/>
      <c r="K159" s="79"/>
      <c r="L159" s="79"/>
      <c r="M159" s="72">
        <v>4019</v>
      </c>
      <c r="N159" s="72">
        <v>4031.81</v>
      </c>
      <c r="O159" s="80">
        <v>4036</v>
      </c>
      <c r="P159" s="71">
        <f t="shared" si="21"/>
        <v>1.003187360039811</v>
      </c>
      <c r="Q159" s="71">
        <f t="shared" si="28"/>
        <v>0.001039235479846523</v>
      </c>
    </row>
    <row r="160" spans="1:17" s="44" customFormat="1" ht="16.5" customHeight="1">
      <c r="A160" s="60" t="s">
        <v>319</v>
      </c>
      <c r="B160" s="72">
        <v>36</v>
      </c>
      <c r="C160" s="72">
        <v>34.1</v>
      </c>
      <c r="D160" s="80">
        <v>0</v>
      </c>
      <c r="E160" s="62">
        <v>0</v>
      </c>
      <c r="F160" s="82">
        <f t="shared" si="24"/>
        <v>-1</v>
      </c>
      <c r="G160" s="60" t="s">
        <v>125</v>
      </c>
      <c r="H160" s="79"/>
      <c r="I160" s="79"/>
      <c r="J160" s="79"/>
      <c r="K160" s="79"/>
      <c r="L160" s="79"/>
      <c r="M160" s="70">
        <v>0</v>
      </c>
      <c r="N160" s="70">
        <v>0</v>
      </c>
      <c r="O160" s="70">
        <v>0</v>
      </c>
      <c r="P160" s="70">
        <v>0</v>
      </c>
      <c r="Q160" s="70">
        <v>0</v>
      </c>
    </row>
    <row r="161" spans="1:256" s="46" customFormat="1" ht="16.5" customHeight="1">
      <c r="A161" s="60" t="s">
        <v>320</v>
      </c>
      <c r="B161" s="72">
        <v>0</v>
      </c>
      <c r="C161" s="72">
        <v>0</v>
      </c>
      <c r="D161" s="80">
        <v>55</v>
      </c>
      <c r="E161" s="62">
        <v>0</v>
      </c>
      <c r="F161" s="62">
        <v>0</v>
      </c>
      <c r="G161" s="60" t="s">
        <v>320</v>
      </c>
      <c r="H161" s="79"/>
      <c r="I161" s="79"/>
      <c r="J161" s="79"/>
      <c r="K161" s="79"/>
      <c r="L161" s="79"/>
      <c r="M161" s="80">
        <v>36</v>
      </c>
      <c r="N161" s="80">
        <v>55</v>
      </c>
      <c r="O161" s="80">
        <v>55</v>
      </c>
      <c r="P161" s="71">
        <f t="shared" si="21"/>
        <v>1.5277777777777777</v>
      </c>
      <c r="Q161" s="70">
        <v>0</v>
      </c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  <c r="IQ161" s="86"/>
      <c r="IR161" s="86"/>
      <c r="IS161" s="86"/>
      <c r="IT161" s="86"/>
      <c r="IU161" s="86"/>
      <c r="IV161" s="86"/>
    </row>
    <row r="162" spans="1:256" s="46" customFormat="1" ht="16.5" customHeight="1">
      <c r="A162" s="75" t="s">
        <v>130</v>
      </c>
      <c r="B162" s="76">
        <f>B156+B158</f>
        <v>48412.75</v>
      </c>
      <c r="C162" s="76">
        <f>C156+C158</f>
        <v>51634.479999999996</v>
      </c>
      <c r="D162" s="76">
        <f>D156+D158</f>
        <v>49909.37</v>
      </c>
      <c r="E162" s="77">
        <f t="shared" si="26"/>
        <v>1.0665471389251797</v>
      </c>
      <c r="F162" s="58">
        <f>D162/C162-1</f>
        <v>-0.033410039183119355</v>
      </c>
      <c r="G162" s="75" t="s">
        <v>131</v>
      </c>
      <c r="H162" s="83"/>
      <c r="I162" s="83"/>
      <c r="J162" s="83"/>
      <c r="K162" s="83"/>
      <c r="L162" s="83"/>
      <c r="M162" s="70">
        <f aca="true" t="shared" si="29" ref="M162:O162">M156+M158</f>
        <v>48412.75000000001</v>
      </c>
      <c r="N162" s="70">
        <f t="shared" si="29"/>
        <v>51634.48</v>
      </c>
      <c r="O162" s="70">
        <f t="shared" si="29"/>
        <v>49909.369999999995</v>
      </c>
      <c r="P162" s="71">
        <f t="shared" si="21"/>
        <v>1.0665471389251797</v>
      </c>
      <c r="Q162" s="71">
        <f t="shared" si="28"/>
        <v>-0.03341003918311969</v>
      </c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  <c r="IL162" s="86"/>
      <c r="IM162" s="86"/>
      <c r="IN162" s="86"/>
      <c r="IO162" s="86"/>
      <c r="IP162" s="86"/>
      <c r="IQ162" s="86"/>
      <c r="IR162" s="86"/>
      <c r="IS162" s="86"/>
      <c r="IT162" s="86"/>
      <c r="IU162" s="86"/>
      <c r="IV162" s="86"/>
    </row>
    <row r="163" spans="1:256" s="46" customFormat="1" ht="16.5" customHeight="1">
      <c r="A163" s="42"/>
      <c r="B163" s="42"/>
      <c r="C163" s="42"/>
      <c r="D163" s="84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69"/>
      <c r="Q163" s="69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  <c r="IL163" s="86"/>
      <c r="IM163" s="86"/>
      <c r="IN163" s="86"/>
      <c r="IO163" s="86"/>
      <c r="IP163" s="86"/>
      <c r="IQ163" s="86"/>
      <c r="IR163" s="86"/>
      <c r="IS163" s="86"/>
      <c r="IT163" s="86"/>
      <c r="IU163" s="86"/>
      <c r="IV163" s="86"/>
    </row>
    <row r="164" spans="1:256" s="46" customFormat="1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69"/>
      <c r="Q164" s="69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  <c r="IL164" s="86"/>
      <c r="IM164" s="86"/>
      <c r="IN164" s="86"/>
      <c r="IO164" s="86"/>
      <c r="IP164" s="86"/>
      <c r="IQ164" s="86"/>
      <c r="IR164" s="86"/>
      <c r="IS164" s="86"/>
      <c r="IT164" s="86"/>
      <c r="IU164" s="86"/>
      <c r="IV164" s="86"/>
    </row>
    <row r="165" spans="1:17" ht="21.7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69"/>
      <c r="Q165" s="69"/>
    </row>
    <row r="166" spans="16:17" s="42" customFormat="1" ht="21.75" customHeight="1">
      <c r="P166" s="69"/>
      <c r="Q166" s="69"/>
    </row>
    <row r="167" spans="16:17" s="42" customFormat="1" ht="21.75" customHeight="1">
      <c r="P167" s="69"/>
      <c r="Q167" s="69"/>
    </row>
    <row r="168" spans="16:17" s="42" customFormat="1" ht="21.75" customHeight="1">
      <c r="P168" s="69"/>
      <c r="Q168" s="69"/>
    </row>
    <row r="169" spans="16:17" s="42" customFormat="1" ht="21.75" customHeight="1">
      <c r="P169" s="69"/>
      <c r="Q169" s="69"/>
    </row>
    <row r="170" spans="16:17" s="42" customFormat="1" ht="21.75" customHeight="1">
      <c r="P170" s="69"/>
      <c r="Q170" s="69"/>
    </row>
    <row r="171" spans="16:17" s="42" customFormat="1" ht="21.75" customHeight="1">
      <c r="P171" s="69"/>
      <c r="Q171" s="69"/>
    </row>
    <row r="172" spans="16:17" s="42" customFormat="1" ht="21.75" customHeight="1">
      <c r="P172" s="69"/>
      <c r="Q172" s="69"/>
    </row>
    <row r="173" spans="16:17" s="42" customFormat="1" ht="21.75" customHeight="1">
      <c r="P173" s="69"/>
      <c r="Q173" s="69"/>
    </row>
    <row r="174" spans="16:17" s="42" customFormat="1" ht="21.75" customHeight="1">
      <c r="P174" s="69"/>
      <c r="Q174" s="69"/>
    </row>
    <row r="175" spans="16:17" s="42" customFormat="1" ht="21.75" customHeight="1">
      <c r="P175" s="69"/>
      <c r="Q175" s="69"/>
    </row>
    <row r="176" spans="16:17" s="42" customFormat="1" ht="21.75" customHeight="1">
      <c r="P176" s="69"/>
      <c r="Q176" s="69"/>
    </row>
    <row r="177" spans="16:17" s="42" customFormat="1" ht="21.75" customHeight="1">
      <c r="P177" s="69"/>
      <c r="Q177" s="69"/>
    </row>
    <row r="178" spans="16:17" s="42" customFormat="1" ht="21.75" customHeight="1">
      <c r="P178" s="69"/>
      <c r="Q178" s="69"/>
    </row>
    <row r="179" spans="16:17" s="42" customFormat="1" ht="21.75" customHeight="1">
      <c r="P179" s="69"/>
      <c r="Q179" s="69"/>
    </row>
    <row r="180" spans="16:17" s="42" customFormat="1" ht="21.75" customHeight="1">
      <c r="P180" s="69"/>
      <c r="Q180" s="69"/>
    </row>
    <row r="181" spans="16:17" s="42" customFormat="1" ht="21.75" customHeight="1">
      <c r="P181" s="69"/>
      <c r="Q181" s="69"/>
    </row>
    <row r="182" spans="16:17" s="42" customFormat="1" ht="21.75" customHeight="1">
      <c r="P182" s="69"/>
      <c r="Q182" s="69"/>
    </row>
    <row r="183" spans="16:17" s="42" customFormat="1" ht="21.75" customHeight="1">
      <c r="P183" s="69"/>
      <c r="Q183" s="69"/>
    </row>
    <row r="184" spans="16:17" s="42" customFormat="1" ht="21.75" customHeight="1">
      <c r="P184" s="69"/>
      <c r="Q184" s="69"/>
    </row>
    <row r="185" spans="16:17" s="42" customFormat="1" ht="21.75" customHeight="1">
      <c r="P185" s="69"/>
      <c r="Q185" s="69"/>
    </row>
    <row r="186" spans="16:17" s="42" customFormat="1" ht="21.75" customHeight="1">
      <c r="P186" s="69"/>
      <c r="Q186" s="69"/>
    </row>
    <row r="187" spans="16:17" s="42" customFormat="1" ht="21.75" customHeight="1">
      <c r="P187" s="69"/>
      <c r="Q187" s="69"/>
    </row>
    <row r="188" spans="16:17" s="42" customFormat="1" ht="27.75" customHeight="1">
      <c r="P188" s="69"/>
      <c r="Q188" s="69"/>
    </row>
    <row r="189" spans="16:17" s="42" customFormat="1" ht="27.75" customHeight="1">
      <c r="P189" s="69"/>
      <c r="Q189" s="69"/>
    </row>
    <row r="190" spans="16:17" s="42" customFormat="1" ht="27.75" customHeight="1">
      <c r="P190" s="69"/>
      <c r="Q190" s="69"/>
    </row>
    <row r="191" spans="16:17" s="42" customFormat="1" ht="27.75" customHeight="1">
      <c r="P191" s="69"/>
      <c r="Q191" s="69"/>
    </row>
    <row r="192" spans="16:17" s="42" customFormat="1" ht="27.75" customHeight="1">
      <c r="P192" s="69"/>
      <c r="Q192" s="69"/>
    </row>
    <row r="193" spans="16:17" s="42" customFormat="1" ht="27.75" customHeight="1">
      <c r="P193" s="69"/>
      <c r="Q193" s="69"/>
    </row>
    <row r="194" spans="16:17" s="42" customFormat="1" ht="27.75" customHeight="1">
      <c r="P194" s="69"/>
      <c r="Q194" s="69"/>
    </row>
    <row r="195" spans="16:17" s="42" customFormat="1" ht="27.75" customHeight="1">
      <c r="P195" s="69"/>
      <c r="Q195" s="69"/>
    </row>
    <row r="196" spans="16:17" s="42" customFormat="1" ht="27.75" customHeight="1">
      <c r="P196" s="69"/>
      <c r="Q196" s="69"/>
    </row>
    <row r="197" spans="16:17" s="42" customFormat="1" ht="27.75" customHeight="1">
      <c r="P197" s="69"/>
      <c r="Q197" s="69"/>
    </row>
    <row r="198" spans="16:17" s="42" customFormat="1" ht="27.75" customHeight="1">
      <c r="P198" s="69"/>
      <c r="Q198" s="69"/>
    </row>
    <row r="199" spans="16:17" s="42" customFormat="1" ht="27.75" customHeight="1">
      <c r="P199" s="69"/>
      <c r="Q199" s="69"/>
    </row>
    <row r="200" spans="16:17" s="42" customFormat="1" ht="27.75" customHeight="1">
      <c r="P200" s="69"/>
      <c r="Q200" s="69"/>
    </row>
    <row r="201" spans="16:17" s="42" customFormat="1" ht="27.75" customHeight="1">
      <c r="P201" s="69"/>
      <c r="Q201" s="69"/>
    </row>
    <row r="202" spans="16:17" s="42" customFormat="1" ht="27.75" customHeight="1">
      <c r="P202" s="69"/>
      <c r="Q202" s="69"/>
    </row>
    <row r="203" spans="16:17" s="42" customFormat="1" ht="27.75" customHeight="1">
      <c r="P203" s="69"/>
      <c r="Q203" s="69"/>
    </row>
    <row r="204" spans="16:17" s="42" customFormat="1" ht="27.75" customHeight="1">
      <c r="P204" s="69"/>
      <c r="Q204" s="69"/>
    </row>
    <row r="205" spans="16:17" s="42" customFormat="1" ht="27.75" customHeight="1">
      <c r="P205" s="69"/>
      <c r="Q205" s="69"/>
    </row>
    <row r="206" spans="16:17" s="42" customFormat="1" ht="27.75" customHeight="1">
      <c r="P206" s="69"/>
      <c r="Q206" s="69"/>
    </row>
    <row r="207" spans="16:17" s="42" customFormat="1" ht="27.75" customHeight="1">
      <c r="P207" s="69"/>
      <c r="Q207" s="69"/>
    </row>
    <row r="208" spans="16:17" s="42" customFormat="1" ht="27.75" customHeight="1">
      <c r="P208" s="69"/>
      <c r="Q208" s="69"/>
    </row>
    <row r="209" spans="16:17" s="42" customFormat="1" ht="27.75" customHeight="1">
      <c r="P209" s="69"/>
      <c r="Q209" s="69"/>
    </row>
    <row r="210" spans="16:17" s="42" customFormat="1" ht="27.75" customHeight="1">
      <c r="P210" s="69"/>
      <c r="Q210" s="69"/>
    </row>
    <row r="211" spans="16:17" s="42" customFormat="1" ht="27.75" customHeight="1">
      <c r="P211" s="69"/>
      <c r="Q211" s="69"/>
    </row>
    <row r="212" spans="16:17" s="42" customFormat="1" ht="27.75" customHeight="1">
      <c r="P212" s="69"/>
      <c r="Q212" s="69"/>
    </row>
    <row r="213" spans="16:17" s="42" customFormat="1" ht="27.75" customHeight="1">
      <c r="P213" s="69"/>
      <c r="Q213" s="69"/>
    </row>
    <row r="214" spans="16:17" s="42" customFormat="1" ht="27.75" customHeight="1">
      <c r="P214" s="69"/>
      <c r="Q214" s="69"/>
    </row>
    <row r="215" spans="16:17" s="42" customFormat="1" ht="27.75" customHeight="1">
      <c r="P215" s="69"/>
      <c r="Q215" s="69"/>
    </row>
    <row r="216" spans="16:17" s="42" customFormat="1" ht="27.75" customHeight="1">
      <c r="P216" s="69"/>
      <c r="Q216" s="69"/>
    </row>
    <row r="217" spans="16:17" s="42" customFormat="1" ht="27.75" customHeight="1">
      <c r="P217" s="69"/>
      <c r="Q217" s="69"/>
    </row>
    <row r="218" spans="16:17" s="42" customFormat="1" ht="27.75" customHeight="1">
      <c r="P218" s="69"/>
      <c r="Q218" s="69"/>
    </row>
    <row r="219" spans="16:17" s="42" customFormat="1" ht="27.75" customHeight="1">
      <c r="P219" s="69"/>
      <c r="Q219" s="69"/>
    </row>
    <row r="220" spans="16:17" s="42" customFormat="1" ht="27.75" customHeight="1">
      <c r="P220" s="69"/>
      <c r="Q220" s="69"/>
    </row>
    <row r="221" spans="16:17" s="42" customFormat="1" ht="27.75" customHeight="1">
      <c r="P221" s="69"/>
      <c r="Q221" s="69"/>
    </row>
    <row r="222" spans="16:17" s="42" customFormat="1" ht="27.75" customHeight="1">
      <c r="P222" s="69"/>
      <c r="Q222" s="69"/>
    </row>
    <row r="223" spans="16:17" s="42" customFormat="1" ht="27.75" customHeight="1">
      <c r="P223" s="69"/>
      <c r="Q223" s="69"/>
    </row>
    <row r="224" spans="16:17" s="42" customFormat="1" ht="27.75" customHeight="1">
      <c r="P224" s="69"/>
      <c r="Q224" s="69"/>
    </row>
    <row r="225" spans="16:17" s="42" customFormat="1" ht="27.75" customHeight="1">
      <c r="P225" s="69"/>
      <c r="Q225" s="69"/>
    </row>
    <row r="226" spans="16:17" s="42" customFormat="1" ht="27.75" customHeight="1">
      <c r="P226" s="69"/>
      <c r="Q226" s="69"/>
    </row>
    <row r="227" spans="16:17" s="42" customFormat="1" ht="27.75" customHeight="1">
      <c r="P227" s="69"/>
      <c r="Q227" s="69"/>
    </row>
    <row r="228" spans="16:17" s="42" customFormat="1" ht="27.75" customHeight="1">
      <c r="P228" s="69"/>
      <c r="Q228" s="69"/>
    </row>
    <row r="229" spans="16:17" s="42" customFormat="1" ht="27.75" customHeight="1">
      <c r="P229" s="69"/>
      <c r="Q229" s="69"/>
    </row>
    <row r="230" spans="16:17" s="42" customFormat="1" ht="27.75" customHeight="1">
      <c r="P230" s="69"/>
      <c r="Q230" s="69"/>
    </row>
    <row r="231" spans="16:17" s="42" customFormat="1" ht="27.75" customHeight="1">
      <c r="P231" s="69"/>
      <c r="Q231" s="69"/>
    </row>
    <row r="232" spans="16:17" s="42" customFormat="1" ht="18.75">
      <c r="P232" s="69"/>
      <c r="Q232" s="69"/>
    </row>
    <row r="233" spans="16:17" s="42" customFormat="1" ht="18.75">
      <c r="P233" s="69"/>
      <c r="Q233" s="69"/>
    </row>
    <row r="234" spans="16:17" s="42" customFormat="1" ht="18.75">
      <c r="P234" s="69"/>
      <c r="Q234" s="69"/>
    </row>
    <row r="235" spans="16:17" s="42" customFormat="1" ht="18.75">
      <c r="P235" s="69"/>
      <c r="Q235" s="69"/>
    </row>
    <row r="236" spans="16:17" s="42" customFormat="1" ht="18.75">
      <c r="P236" s="69"/>
      <c r="Q236" s="69"/>
    </row>
    <row r="237" spans="16:17" s="42" customFormat="1" ht="18.75">
      <c r="P237" s="69"/>
      <c r="Q237" s="69"/>
    </row>
    <row r="238" spans="16:17" s="42" customFormat="1" ht="18.75">
      <c r="P238" s="69"/>
      <c r="Q238" s="69"/>
    </row>
    <row r="239" spans="16:17" s="42" customFormat="1" ht="18.75">
      <c r="P239" s="69"/>
      <c r="Q239" s="69"/>
    </row>
    <row r="240" spans="16:17" s="42" customFormat="1" ht="18.75">
      <c r="P240" s="69"/>
      <c r="Q240" s="69"/>
    </row>
    <row r="241" spans="16:17" s="42" customFormat="1" ht="18.75">
      <c r="P241" s="69"/>
      <c r="Q241" s="69"/>
    </row>
    <row r="242" spans="16:17" s="42" customFormat="1" ht="18.75">
      <c r="P242" s="69"/>
      <c r="Q242" s="69"/>
    </row>
    <row r="243" spans="16:17" s="42" customFormat="1" ht="18.75">
      <c r="P243" s="69"/>
      <c r="Q243" s="69"/>
    </row>
    <row r="244" spans="16:17" s="42" customFormat="1" ht="18.75">
      <c r="P244" s="69"/>
      <c r="Q244" s="69"/>
    </row>
    <row r="245" spans="16:17" s="42" customFormat="1" ht="18.75">
      <c r="P245" s="69"/>
      <c r="Q245" s="69"/>
    </row>
    <row r="246" spans="16:17" s="42" customFormat="1" ht="18.75">
      <c r="P246" s="69"/>
      <c r="Q246" s="69"/>
    </row>
    <row r="247" spans="16:17" s="42" customFormat="1" ht="18.75">
      <c r="P247" s="69"/>
      <c r="Q247" s="69"/>
    </row>
    <row r="248" spans="16:17" s="42" customFormat="1" ht="18.75">
      <c r="P248" s="69"/>
      <c r="Q248" s="69"/>
    </row>
    <row r="249" spans="16:17" s="42" customFormat="1" ht="18.75">
      <c r="P249" s="69"/>
      <c r="Q249" s="69"/>
    </row>
    <row r="250" spans="16:17" s="42" customFormat="1" ht="18.75">
      <c r="P250" s="69"/>
      <c r="Q250" s="69"/>
    </row>
    <row r="251" spans="16:17" s="42" customFormat="1" ht="18.75">
      <c r="P251" s="69"/>
      <c r="Q251" s="69"/>
    </row>
    <row r="252" spans="16:17" s="42" customFormat="1" ht="18.75">
      <c r="P252" s="69"/>
      <c r="Q252" s="69"/>
    </row>
    <row r="253" spans="16:17" s="42" customFormat="1" ht="18.75">
      <c r="P253" s="69"/>
      <c r="Q253" s="69"/>
    </row>
    <row r="254" spans="16:17" s="42" customFormat="1" ht="18.75">
      <c r="P254" s="69"/>
      <c r="Q254" s="69"/>
    </row>
    <row r="255" spans="16:17" s="42" customFormat="1" ht="18.75">
      <c r="P255" s="69"/>
      <c r="Q255" s="69"/>
    </row>
    <row r="256" spans="16:17" s="42" customFormat="1" ht="18.75">
      <c r="P256" s="69"/>
      <c r="Q256" s="69"/>
    </row>
    <row r="257" spans="16:17" s="42" customFormat="1" ht="18.75">
      <c r="P257" s="69"/>
      <c r="Q257" s="69"/>
    </row>
    <row r="258" spans="16:17" s="42" customFormat="1" ht="18.75">
      <c r="P258" s="69"/>
      <c r="Q258" s="69"/>
    </row>
    <row r="259" spans="16:17" s="42" customFormat="1" ht="18.75">
      <c r="P259" s="69"/>
      <c r="Q259" s="69"/>
    </row>
    <row r="260" spans="16:17" s="42" customFormat="1" ht="18.75">
      <c r="P260" s="69"/>
      <c r="Q260" s="69"/>
    </row>
    <row r="261" spans="16:17" s="42" customFormat="1" ht="18.75">
      <c r="P261" s="69"/>
      <c r="Q261" s="69"/>
    </row>
    <row r="262" spans="16:17" s="42" customFormat="1" ht="18.75">
      <c r="P262" s="69"/>
      <c r="Q262" s="69"/>
    </row>
    <row r="263" spans="16:17" s="42" customFormat="1" ht="18.75">
      <c r="P263" s="69"/>
      <c r="Q263" s="69"/>
    </row>
    <row r="264" spans="16:17" s="42" customFormat="1" ht="18.75">
      <c r="P264" s="69"/>
      <c r="Q264" s="69"/>
    </row>
    <row r="265" spans="16:17" s="42" customFormat="1" ht="18.75">
      <c r="P265" s="69"/>
      <c r="Q265" s="69"/>
    </row>
    <row r="266" spans="16:17" s="42" customFormat="1" ht="18.75">
      <c r="P266" s="69"/>
      <c r="Q266" s="69"/>
    </row>
    <row r="267" spans="16:17" s="42" customFormat="1" ht="18.75">
      <c r="P267" s="69"/>
      <c r="Q267" s="69"/>
    </row>
    <row r="268" spans="16:17" s="42" customFormat="1" ht="18.75">
      <c r="P268" s="69"/>
      <c r="Q268" s="69"/>
    </row>
    <row r="269" spans="16:17" s="42" customFormat="1" ht="18.75">
      <c r="P269" s="69"/>
      <c r="Q269" s="69"/>
    </row>
    <row r="270" spans="16:17" s="42" customFormat="1" ht="18.75">
      <c r="P270" s="69"/>
      <c r="Q270" s="69"/>
    </row>
    <row r="271" spans="16:17" s="42" customFormat="1" ht="18.75">
      <c r="P271" s="69"/>
      <c r="Q271" s="69"/>
    </row>
    <row r="272" spans="16:17" s="42" customFormat="1" ht="18.75">
      <c r="P272" s="69"/>
      <c r="Q272" s="69"/>
    </row>
    <row r="273" spans="16:17" s="42" customFormat="1" ht="18.75">
      <c r="P273" s="69"/>
      <c r="Q273" s="69"/>
    </row>
    <row r="274" spans="16:17" s="42" customFormat="1" ht="18.75">
      <c r="P274" s="69"/>
      <c r="Q274" s="69"/>
    </row>
    <row r="275" spans="16:17" s="42" customFormat="1" ht="18.75">
      <c r="P275" s="69"/>
      <c r="Q275" s="69"/>
    </row>
    <row r="276" spans="16:17" s="42" customFormat="1" ht="18.75">
      <c r="P276" s="69"/>
      <c r="Q276" s="69"/>
    </row>
    <row r="277" spans="16:17" s="42" customFormat="1" ht="18.75">
      <c r="P277" s="69"/>
      <c r="Q277" s="69"/>
    </row>
    <row r="278" spans="16:17" s="42" customFormat="1" ht="18.75">
      <c r="P278" s="69"/>
      <c r="Q278" s="69"/>
    </row>
    <row r="279" spans="16:17" s="42" customFormat="1" ht="18.75">
      <c r="P279" s="69"/>
      <c r="Q279" s="69"/>
    </row>
    <row r="280" spans="16:17" s="42" customFormat="1" ht="18.75">
      <c r="P280" s="69"/>
      <c r="Q280" s="69"/>
    </row>
    <row r="281" spans="16:17" s="42" customFormat="1" ht="18.75">
      <c r="P281" s="69"/>
      <c r="Q281" s="69"/>
    </row>
    <row r="282" spans="16:17" s="42" customFormat="1" ht="18.75">
      <c r="P282" s="69"/>
      <c r="Q282" s="69"/>
    </row>
    <row r="283" spans="16:17" s="42" customFormat="1" ht="18.75">
      <c r="P283" s="69"/>
      <c r="Q283" s="69"/>
    </row>
    <row r="284" spans="16:17" s="42" customFormat="1" ht="18.75">
      <c r="P284" s="69"/>
      <c r="Q284" s="69"/>
    </row>
    <row r="285" spans="16:17" s="42" customFormat="1" ht="18.75">
      <c r="P285" s="69"/>
      <c r="Q285" s="69"/>
    </row>
    <row r="286" spans="16:17" s="42" customFormat="1" ht="18.75">
      <c r="P286" s="69"/>
      <c r="Q286" s="69"/>
    </row>
    <row r="287" spans="16:17" s="42" customFormat="1" ht="18.75">
      <c r="P287" s="69"/>
      <c r="Q287" s="69"/>
    </row>
    <row r="288" spans="16:17" s="42" customFormat="1" ht="18.75">
      <c r="P288" s="69"/>
      <c r="Q288" s="69"/>
    </row>
    <row r="289" spans="16:17" s="42" customFormat="1" ht="18.75">
      <c r="P289" s="69"/>
      <c r="Q289" s="69"/>
    </row>
    <row r="290" spans="16:17" s="42" customFormat="1" ht="18.75">
      <c r="P290" s="69"/>
      <c r="Q290" s="69"/>
    </row>
    <row r="291" spans="16:17" s="42" customFormat="1" ht="18.75">
      <c r="P291" s="69"/>
      <c r="Q291" s="69"/>
    </row>
    <row r="292" spans="16:17" s="42" customFormat="1" ht="18.75">
      <c r="P292" s="69"/>
      <c r="Q292" s="69"/>
    </row>
    <row r="293" spans="16:17" s="42" customFormat="1" ht="18.75">
      <c r="P293" s="69"/>
      <c r="Q293" s="69"/>
    </row>
    <row r="294" spans="16:17" s="42" customFormat="1" ht="18.75">
      <c r="P294" s="69"/>
      <c r="Q294" s="69"/>
    </row>
    <row r="295" spans="16:17" s="42" customFormat="1" ht="18.75">
      <c r="P295" s="69"/>
      <c r="Q295" s="69"/>
    </row>
    <row r="296" spans="16:17" s="42" customFormat="1" ht="18.75">
      <c r="P296" s="69"/>
      <c r="Q296" s="69"/>
    </row>
    <row r="297" spans="16:17" s="42" customFormat="1" ht="18.75">
      <c r="P297" s="69"/>
      <c r="Q297" s="69"/>
    </row>
    <row r="298" spans="16:17" s="42" customFormat="1" ht="18.75">
      <c r="P298" s="69"/>
      <c r="Q298" s="69"/>
    </row>
    <row r="299" spans="16:17" s="42" customFormat="1" ht="18.75">
      <c r="P299" s="69"/>
      <c r="Q299" s="69"/>
    </row>
    <row r="300" spans="16:17" s="42" customFormat="1" ht="18.75">
      <c r="P300" s="69"/>
      <c r="Q300" s="69"/>
    </row>
    <row r="301" spans="16:17" s="42" customFormat="1" ht="18.75">
      <c r="P301" s="69"/>
      <c r="Q301" s="69"/>
    </row>
    <row r="302" spans="16:17" s="42" customFormat="1" ht="18.75">
      <c r="P302" s="69"/>
      <c r="Q302" s="69"/>
    </row>
    <row r="303" spans="16:17" s="42" customFormat="1" ht="18.75">
      <c r="P303" s="69"/>
      <c r="Q303" s="69"/>
    </row>
    <row r="304" spans="16:17" s="42" customFormat="1" ht="18.75">
      <c r="P304" s="69"/>
      <c r="Q304" s="69"/>
    </row>
    <row r="305" spans="16:17" s="42" customFormat="1" ht="18.75">
      <c r="P305" s="69"/>
      <c r="Q305" s="69"/>
    </row>
    <row r="306" spans="16:17" s="42" customFormat="1" ht="18.75">
      <c r="P306" s="69"/>
      <c r="Q306" s="69"/>
    </row>
    <row r="307" spans="16:17" s="42" customFormat="1" ht="18.75">
      <c r="P307" s="69"/>
      <c r="Q307" s="69"/>
    </row>
    <row r="308" spans="16:17" s="42" customFormat="1" ht="18.75">
      <c r="P308" s="69"/>
      <c r="Q308" s="69"/>
    </row>
    <row r="309" spans="16:17" s="42" customFormat="1" ht="18.75">
      <c r="P309" s="69"/>
      <c r="Q309" s="69"/>
    </row>
    <row r="310" spans="16:17" s="42" customFormat="1" ht="18.75">
      <c r="P310" s="69"/>
      <c r="Q310" s="69"/>
    </row>
    <row r="311" spans="16:17" s="42" customFormat="1" ht="18.75">
      <c r="P311" s="69"/>
      <c r="Q311" s="69"/>
    </row>
    <row r="312" spans="16:17" s="42" customFormat="1" ht="18.75">
      <c r="P312" s="69"/>
      <c r="Q312" s="69"/>
    </row>
    <row r="313" spans="16:17" s="42" customFormat="1" ht="18.75">
      <c r="P313" s="69"/>
      <c r="Q313" s="69"/>
    </row>
    <row r="314" spans="16:17" s="42" customFormat="1" ht="18.75">
      <c r="P314" s="69"/>
      <c r="Q314" s="69"/>
    </row>
    <row r="315" spans="16:17" s="42" customFormat="1" ht="18.75">
      <c r="P315" s="69"/>
      <c r="Q315" s="69"/>
    </row>
    <row r="316" spans="16:17" s="42" customFormat="1" ht="18.75">
      <c r="P316" s="69"/>
      <c r="Q316" s="69"/>
    </row>
    <row r="317" spans="16:17" s="42" customFormat="1" ht="18.75">
      <c r="P317" s="69"/>
      <c r="Q317" s="69"/>
    </row>
    <row r="318" spans="16:17" s="42" customFormat="1" ht="18.75">
      <c r="P318" s="69"/>
      <c r="Q318" s="69"/>
    </row>
    <row r="319" spans="16:17" s="42" customFormat="1" ht="18.75">
      <c r="P319" s="69"/>
      <c r="Q319" s="69"/>
    </row>
    <row r="320" spans="16:17" s="42" customFormat="1" ht="18.75">
      <c r="P320" s="69"/>
      <c r="Q320" s="69"/>
    </row>
    <row r="321" spans="16:17" s="42" customFormat="1" ht="18.75">
      <c r="P321" s="69"/>
      <c r="Q321" s="69"/>
    </row>
    <row r="322" spans="16:17" s="42" customFormat="1" ht="18.75">
      <c r="P322" s="69"/>
      <c r="Q322" s="69"/>
    </row>
    <row r="323" spans="16:17" s="42" customFormat="1" ht="18.75">
      <c r="P323" s="69"/>
      <c r="Q323" s="69"/>
    </row>
    <row r="324" spans="16:17" s="42" customFormat="1" ht="18.75">
      <c r="P324" s="69"/>
      <c r="Q324" s="69"/>
    </row>
    <row r="325" spans="16:17" s="42" customFormat="1" ht="18.75">
      <c r="P325" s="69"/>
      <c r="Q325" s="69"/>
    </row>
    <row r="326" spans="16:17" s="42" customFormat="1" ht="18.75">
      <c r="P326" s="69"/>
      <c r="Q326" s="69"/>
    </row>
    <row r="327" spans="16:17" s="42" customFormat="1" ht="18.75">
      <c r="P327" s="69"/>
      <c r="Q327" s="69"/>
    </row>
    <row r="328" spans="16:17" s="42" customFormat="1" ht="18.75">
      <c r="P328" s="69"/>
      <c r="Q328" s="69"/>
    </row>
    <row r="329" spans="16:17" s="42" customFormat="1" ht="18.75">
      <c r="P329" s="69"/>
      <c r="Q329" s="69"/>
    </row>
    <row r="330" spans="16:17" s="42" customFormat="1" ht="18.75">
      <c r="P330" s="69"/>
      <c r="Q330" s="69"/>
    </row>
    <row r="331" spans="16:17" s="42" customFormat="1" ht="18.75">
      <c r="P331" s="69"/>
      <c r="Q331" s="69"/>
    </row>
    <row r="332" spans="16:17" s="42" customFormat="1" ht="18.75">
      <c r="P332" s="69"/>
      <c r="Q332" s="69"/>
    </row>
    <row r="333" spans="16:17" s="42" customFormat="1" ht="18.75">
      <c r="P333" s="69"/>
      <c r="Q333" s="69"/>
    </row>
    <row r="334" spans="16:17" s="42" customFormat="1" ht="18.75">
      <c r="P334" s="69"/>
      <c r="Q334" s="69"/>
    </row>
    <row r="335" spans="16:17" s="42" customFormat="1" ht="18.75">
      <c r="P335" s="69"/>
      <c r="Q335" s="69"/>
    </row>
    <row r="336" spans="16:17" s="42" customFormat="1" ht="18.75">
      <c r="P336" s="69"/>
      <c r="Q336" s="69"/>
    </row>
    <row r="337" spans="16:17" s="42" customFormat="1" ht="18.75">
      <c r="P337" s="69"/>
      <c r="Q337" s="69"/>
    </row>
    <row r="338" spans="16:17" s="42" customFormat="1" ht="18.75">
      <c r="P338" s="69"/>
      <c r="Q338" s="69"/>
    </row>
    <row r="339" spans="16:17" s="42" customFormat="1" ht="18.75">
      <c r="P339" s="69"/>
      <c r="Q339" s="69"/>
    </row>
    <row r="340" spans="16:17" s="42" customFormat="1" ht="18.75">
      <c r="P340" s="69"/>
      <c r="Q340" s="69"/>
    </row>
    <row r="341" spans="16:17" s="42" customFormat="1" ht="18.75">
      <c r="P341" s="69"/>
      <c r="Q341" s="69"/>
    </row>
    <row r="342" spans="16:17" s="42" customFormat="1" ht="18.75">
      <c r="P342" s="69"/>
      <c r="Q342" s="69"/>
    </row>
    <row r="343" spans="16:17" s="42" customFormat="1" ht="18.75">
      <c r="P343" s="69"/>
      <c r="Q343" s="69"/>
    </row>
    <row r="344" spans="16:17" s="42" customFormat="1" ht="18.75">
      <c r="P344" s="69"/>
      <c r="Q344" s="69"/>
    </row>
    <row r="345" spans="16:17" s="42" customFormat="1" ht="18.75">
      <c r="P345" s="69"/>
      <c r="Q345" s="69"/>
    </row>
    <row r="346" spans="16:17" s="42" customFormat="1" ht="18.75">
      <c r="P346" s="69"/>
      <c r="Q346" s="69"/>
    </row>
    <row r="347" spans="16:17" s="42" customFormat="1" ht="18.75">
      <c r="P347" s="69"/>
      <c r="Q347" s="69"/>
    </row>
    <row r="348" spans="16:17" s="42" customFormat="1" ht="18.75">
      <c r="P348" s="69"/>
      <c r="Q348" s="69"/>
    </row>
    <row r="349" spans="16:17" s="42" customFormat="1" ht="18.75">
      <c r="P349" s="69"/>
      <c r="Q349" s="69"/>
    </row>
    <row r="350" spans="16:17" s="42" customFormat="1" ht="18.75">
      <c r="P350" s="69"/>
      <c r="Q350" s="69"/>
    </row>
    <row r="351" spans="16:17" s="42" customFormat="1" ht="18.75">
      <c r="P351" s="69"/>
      <c r="Q351" s="69"/>
    </row>
    <row r="352" spans="16:17" s="42" customFormat="1" ht="18.75">
      <c r="P352" s="69"/>
      <c r="Q352" s="69"/>
    </row>
    <row r="353" spans="16:17" s="42" customFormat="1" ht="18.75">
      <c r="P353" s="69"/>
      <c r="Q353" s="69"/>
    </row>
    <row r="354" spans="16:17" s="42" customFormat="1" ht="18.75">
      <c r="P354" s="69"/>
      <c r="Q354" s="69"/>
    </row>
    <row r="355" spans="16:17" s="42" customFormat="1" ht="18.75">
      <c r="P355" s="69"/>
      <c r="Q355" s="69"/>
    </row>
    <row r="356" spans="16:17" s="42" customFormat="1" ht="18.75">
      <c r="P356" s="69"/>
      <c r="Q356" s="69"/>
    </row>
    <row r="357" spans="16:17" s="42" customFormat="1" ht="18.75">
      <c r="P357" s="69"/>
      <c r="Q357" s="69"/>
    </row>
    <row r="358" spans="16:17" s="42" customFormat="1" ht="18.75">
      <c r="P358" s="69"/>
      <c r="Q358" s="69"/>
    </row>
    <row r="359" spans="16:17" s="42" customFormat="1" ht="18.75">
      <c r="P359" s="69"/>
      <c r="Q359" s="69"/>
    </row>
    <row r="360" spans="16:17" s="42" customFormat="1" ht="18.75">
      <c r="P360" s="69"/>
      <c r="Q360" s="69"/>
    </row>
    <row r="361" spans="16:17" s="42" customFormat="1" ht="18.75">
      <c r="P361" s="69"/>
      <c r="Q361" s="69"/>
    </row>
    <row r="362" spans="16:17" s="42" customFormat="1" ht="18.75">
      <c r="P362" s="69"/>
      <c r="Q362" s="69"/>
    </row>
    <row r="363" spans="16:17" s="42" customFormat="1" ht="18.75">
      <c r="P363" s="69"/>
      <c r="Q363" s="69"/>
    </row>
    <row r="364" spans="16:17" s="42" customFormat="1" ht="18.75">
      <c r="P364" s="69"/>
      <c r="Q364" s="69"/>
    </row>
    <row r="365" spans="16:17" s="42" customFormat="1" ht="18.75">
      <c r="P365" s="69"/>
      <c r="Q365" s="69"/>
    </row>
    <row r="366" spans="16:17" s="42" customFormat="1" ht="18.75">
      <c r="P366" s="69"/>
      <c r="Q366" s="69"/>
    </row>
    <row r="367" spans="16:17" s="42" customFormat="1" ht="18.75">
      <c r="P367" s="69"/>
      <c r="Q367" s="69"/>
    </row>
    <row r="368" spans="16:17" s="42" customFormat="1" ht="18.75">
      <c r="P368" s="69"/>
      <c r="Q368" s="69"/>
    </row>
    <row r="369" spans="16:17" s="42" customFormat="1" ht="18.75">
      <c r="P369" s="69"/>
      <c r="Q369" s="69"/>
    </row>
    <row r="370" spans="16:17" s="42" customFormat="1" ht="18.75">
      <c r="P370" s="69"/>
      <c r="Q370" s="69"/>
    </row>
    <row r="371" spans="16:17" s="42" customFormat="1" ht="18.75">
      <c r="P371" s="69"/>
      <c r="Q371" s="69"/>
    </row>
    <row r="372" spans="16:17" s="42" customFormat="1" ht="18.75">
      <c r="P372" s="69"/>
      <c r="Q372" s="69"/>
    </row>
    <row r="373" spans="16:17" s="42" customFormat="1" ht="18.75">
      <c r="P373" s="69"/>
      <c r="Q373" s="69"/>
    </row>
    <row r="374" spans="16:17" s="42" customFormat="1" ht="18.75">
      <c r="P374" s="69"/>
      <c r="Q374" s="69"/>
    </row>
    <row r="375" spans="16:17" s="42" customFormat="1" ht="18.75">
      <c r="P375" s="69"/>
      <c r="Q375" s="69"/>
    </row>
    <row r="376" spans="16:17" s="42" customFormat="1" ht="18.75">
      <c r="P376" s="69"/>
      <c r="Q376" s="69"/>
    </row>
    <row r="377" spans="16:17" s="42" customFormat="1" ht="18.75">
      <c r="P377" s="69"/>
      <c r="Q377" s="69"/>
    </row>
    <row r="378" spans="16:17" s="42" customFormat="1" ht="18.75">
      <c r="P378" s="69"/>
      <c r="Q378" s="69"/>
    </row>
    <row r="379" spans="16:17" s="42" customFormat="1" ht="18.75">
      <c r="P379" s="69"/>
      <c r="Q379" s="69"/>
    </row>
    <row r="380" spans="16:17" s="42" customFormat="1" ht="18.75">
      <c r="P380" s="69"/>
      <c r="Q380" s="69"/>
    </row>
    <row r="381" spans="16:17" s="42" customFormat="1" ht="18.75">
      <c r="P381" s="69"/>
      <c r="Q381" s="69"/>
    </row>
    <row r="382" spans="16:17" s="42" customFormat="1" ht="18.75">
      <c r="P382" s="69"/>
      <c r="Q382" s="69"/>
    </row>
    <row r="383" spans="16:17" s="42" customFormat="1" ht="18.75">
      <c r="P383" s="69"/>
      <c r="Q383" s="69"/>
    </row>
    <row r="384" spans="16:17" s="42" customFormat="1" ht="18.75">
      <c r="P384" s="69"/>
      <c r="Q384" s="69"/>
    </row>
    <row r="385" spans="16:17" s="42" customFormat="1" ht="18.75">
      <c r="P385" s="69"/>
      <c r="Q385" s="69"/>
    </row>
    <row r="386" spans="16:17" s="42" customFormat="1" ht="18.75">
      <c r="P386" s="69"/>
      <c r="Q386" s="69"/>
    </row>
    <row r="387" spans="16:17" s="42" customFormat="1" ht="18.75">
      <c r="P387" s="69"/>
      <c r="Q387" s="69"/>
    </row>
    <row r="388" spans="16:17" s="42" customFormat="1" ht="18.75">
      <c r="P388" s="69"/>
      <c r="Q388" s="69"/>
    </row>
    <row r="389" spans="16:17" s="42" customFormat="1" ht="18.75">
      <c r="P389" s="69"/>
      <c r="Q389" s="69"/>
    </row>
    <row r="390" spans="16:17" s="42" customFormat="1" ht="18.75">
      <c r="P390" s="69"/>
      <c r="Q390" s="69"/>
    </row>
    <row r="391" spans="16:17" s="42" customFormat="1" ht="18.75">
      <c r="P391" s="69"/>
      <c r="Q391" s="69"/>
    </row>
    <row r="392" spans="16:17" s="42" customFormat="1" ht="18.75">
      <c r="P392" s="69"/>
      <c r="Q392" s="69"/>
    </row>
    <row r="393" spans="16:17" s="42" customFormat="1" ht="18.75">
      <c r="P393" s="69"/>
      <c r="Q393" s="69"/>
    </row>
    <row r="394" spans="16:17" s="42" customFormat="1" ht="18.75">
      <c r="P394" s="69"/>
      <c r="Q394" s="69"/>
    </row>
    <row r="395" spans="16:17" s="42" customFormat="1" ht="18.75">
      <c r="P395" s="69"/>
      <c r="Q395" s="69"/>
    </row>
    <row r="396" spans="16:17" s="42" customFormat="1" ht="18.75">
      <c r="P396" s="69"/>
      <c r="Q396" s="69"/>
    </row>
    <row r="397" spans="16:17" s="42" customFormat="1" ht="18.75">
      <c r="P397" s="69"/>
      <c r="Q397" s="69"/>
    </row>
    <row r="398" spans="16:17" s="42" customFormat="1" ht="18.75">
      <c r="P398" s="69"/>
      <c r="Q398" s="69"/>
    </row>
    <row r="399" spans="16:17" s="42" customFormat="1" ht="18.75">
      <c r="P399" s="69"/>
      <c r="Q399" s="69"/>
    </row>
    <row r="400" spans="16:17" s="42" customFormat="1" ht="18.75">
      <c r="P400" s="69"/>
      <c r="Q400" s="69"/>
    </row>
    <row r="401" spans="16:17" s="42" customFormat="1" ht="18.75">
      <c r="P401" s="69"/>
      <c r="Q401" s="69"/>
    </row>
    <row r="402" spans="16:17" s="42" customFormat="1" ht="18.75">
      <c r="P402" s="69"/>
      <c r="Q402" s="69"/>
    </row>
    <row r="403" spans="16:17" s="42" customFormat="1" ht="18.75">
      <c r="P403" s="69"/>
      <c r="Q403" s="69"/>
    </row>
    <row r="404" spans="16:17" s="42" customFormat="1" ht="18.75">
      <c r="P404" s="69"/>
      <c r="Q404" s="69"/>
    </row>
    <row r="405" spans="16:17" s="42" customFormat="1" ht="18.75">
      <c r="P405" s="69"/>
      <c r="Q405" s="69"/>
    </row>
    <row r="406" spans="16:17" s="42" customFormat="1" ht="18.75">
      <c r="P406" s="69"/>
      <c r="Q406" s="69"/>
    </row>
    <row r="407" spans="16:17" s="42" customFormat="1" ht="18.75">
      <c r="P407" s="69"/>
      <c r="Q407" s="69"/>
    </row>
    <row r="408" spans="16:17" s="42" customFormat="1" ht="18.75">
      <c r="P408" s="69"/>
      <c r="Q408" s="69"/>
    </row>
    <row r="409" spans="16:17" s="42" customFormat="1" ht="18.75">
      <c r="P409" s="69"/>
      <c r="Q409" s="69"/>
    </row>
    <row r="410" spans="16:17" s="42" customFormat="1" ht="18.75">
      <c r="P410" s="69"/>
      <c r="Q410" s="69"/>
    </row>
    <row r="411" spans="16:17" s="42" customFormat="1" ht="18.75">
      <c r="P411" s="69"/>
      <c r="Q411" s="69"/>
    </row>
    <row r="412" spans="16:17" s="42" customFormat="1" ht="18.75">
      <c r="P412" s="69"/>
      <c r="Q412" s="69"/>
    </row>
    <row r="413" spans="16:17" s="42" customFormat="1" ht="18.75">
      <c r="P413" s="69"/>
      <c r="Q413" s="69"/>
    </row>
    <row r="414" spans="16:17" s="42" customFormat="1" ht="18.75">
      <c r="P414" s="69"/>
      <c r="Q414" s="69"/>
    </row>
    <row r="415" spans="16:17" s="42" customFormat="1" ht="18.75">
      <c r="P415" s="69"/>
      <c r="Q415" s="69"/>
    </row>
    <row r="416" spans="16:17" s="42" customFormat="1" ht="18.75">
      <c r="P416" s="69"/>
      <c r="Q416" s="69"/>
    </row>
    <row r="417" spans="16:17" s="42" customFormat="1" ht="18.75">
      <c r="P417" s="69"/>
      <c r="Q417" s="69"/>
    </row>
    <row r="418" spans="16:17" s="42" customFormat="1" ht="18.75">
      <c r="P418" s="69"/>
      <c r="Q418" s="69"/>
    </row>
    <row r="419" spans="16:17" s="42" customFormat="1" ht="18.75">
      <c r="P419" s="69"/>
      <c r="Q419" s="69"/>
    </row>
    <row r="420" spans="16:17" s="42" customFormat="1" ht="18.75">
      <c r="P420" s="69"/>
      <c r="Q420" s="69"/>
    </row>
    <row r="421" spans="16:17" s="42" customFormat="1" ht="18.75">
      <c r="P421" s="69"/>
      <c r="Q421" s="69"/>
    </row>
    <row r="422" spans="16:17" s="42" customFormat="1" ht="18.75">
      <c r="P422" s="69"/>
      <c r="Q422" s="69"/>
    </row>
    <row r="423" spans="16:17" s="42" customFormat="1" ht="18.75">
      <c r="P423" s="69"/>
      <c r="Q423" s="69"/>
    </row>
    <row r="424" spans="16:17" s="42" customFormat="1" ht="18.75">
      <c r="P424" s="69"/>
      <c r="Q424" s="69"/>
    </row>
    <row r="425" spans="16:17" s="42" customFormat="1" ht="18.75">
      <c r="P425" s="69"/>
      <c r="Q425" s="69"/>
    </row>
    <row r="426" spans="16:17" s="42" customFormat="1" ht="18.75">
      <c r="P426" s="69"/>
      <c r="Q426" s="69"/>
    </row>
    <row r="427" spans="16:17" s="42" customFormat="1" ht="18.75">
      <c r="P427" s="69"/>
      <c r="Q427" s="69"/>
    </row>
    <row r="428" spans="16:17" s="42" customFormat="1" ht="18.75">
      <c r="P428" s="69"/>
      <c r="Q428" s="69"/>
    </row>
    <row r="429" spans="16:17" s="42" customFormat="1" ht="18.75">
      <c r="P429" s="69"/>
      <c r="Q429" s="69"/>
    </row>
    <row r="430" spans="16:17" s="42" customFormat="1" ht="18.75">
      <c r="P430" s="69"/>
      <c r="Q430" s="69"/>
    </row>
    <row r="431" spans="16:17" s="42" customFormat="1" ht="18.75">
      <c r="P431" s="69"/>
      <c r="Q431" s="69"/>
    </row>
    <row r="432" spans="16:17" s="42" customFormat="1" ht="18.75">
      <c r="P432" s="69"/>
      <c r="Q432" s="69"/>
    </row>
    <row r="433" spans="16:17" s="42" customFormat="1" ht="18.75">
      <c r="P433" s="69"/>
      <c r="Q433" s="69"/>
    </row>
    <row r="434" spans="16:17" s="42" customFormat="1" ht="18.75">
      <c r="P434" s="69"/>
      <c r="Q434" s="69"/>
    </row>
    <row r="435" spans="16:17" s="42" customFormat="1" ht="18.75">
      <c r="P435" s="69"/>
      <c r="Q435" s="69"/>
    </row>
    <row r="436" spans="16:17" s="42" customFormat="1" ht="18.75">
      <c r="P436" s="69"/>
      <c r="Q436" s="69"/>
    </row>
    <row r="437" spans="16:17" s="42" customFormat="1" ht="18.75">
      <c r="P437" s="69"/>
      <c r="Q437" s="69"/>
    </row>
    <row r="438" spans="16:17" s="42" customFormat="1" ht="18.75">
      <c r="P438" s="69"/>
      <c r="Q438" s="69"/>
    </row>
    <row r="439" spans="16:17" s="42" customFormat="1" ht="18.75">
      <c r="P439" s="69"/>
      <c r="Q439" s="69"/>
    </row>
    <row r="440" spans="16:17" s="42" customFormat="1" ht="18.75">
      <c r="P440" s="69"/>
      <c r="Q440" s="69"/>
    </row>
    <row r="441" spans="16:17" s="42" customFormat="1" ht="18.75">
      <c r="P441" s="69"/>
      <c r="Q441" s="69"/>
    </row>
    <row r="442" spans="16:17" s="42" customFormat="1" ht="18.75">
      <c r="P442" s="69"/>
      <c r="Q442" s="69"/>
    </row>
    <row r="443" spans="16:17" s="42" customFormat="1" ht="18.75">
      <c r="P443" s="69"/>
      <c r="Q443" s="69"/>
    </row>
    <row r="444" spans="16:17" s="42" customFormat="1" ht="18.75">
      <c r="P444" s="69"/>
      <c r="Q444" s="69"/>
    </row>
    <row r="445" spans="16:17" s="42" customFormat="1" ht="18.75">
      <c r="P445" s="69"/>
      <c r="Q445" s="69"/>
    </row>
    <row r="446" spans="16:17" s="42" customFormat="1" ht="18.75">
      <c r="P446" s="69"/>
      <c r="Q446" s="69"/>
    </row>
    <row r="447" spans="16:17" s="42" customFormat="1" ht="18.75">
      <c r="P447" s="69"/>
      <c r="Q447" s="69"/>
    </row>
    <row r="448" spans="16:17" s="42" customFormat="1" ht="18.75">
      <c r="P448" s="69"/>
      <c r="Q448" s="69"/>
    </row>
    <row r="449" spans="16:17" s="42" customFormat="1" ht="18.75">
      <c r="P449" s="69"/>
      <c r="Q449" s="69"/>
    </row>
    <row r="450" spans="16:17" s="42" customFormat="1" ht="18.75">
      <c r="P450" s="69"/>
      <c r="Q450" s="69"/>
    </row>
    <row r="451" spans="16:17" s="42" customFormat="1" ht="18.75">
      <c r="P451" s="69"/>
      <c r="Q451" s="69"/>
    </row>
    <row r="452" spans="16:17" s="42" customFormat="1" ht="18.75">
      <c r="P452" s="69"/>
      <c r="Q452" s="69"/>
    </row>
    <row r="453" spans="16:17" s="42" customFormat="1" ht="18.75">
      <c r="P453" s="69"/>
      <c r="Q453" s="69"/>
    </row>
    <row r="454" spans="16:17" s="42" customFormat="1" ht="18.75">
      <c r="P454" s="69"/>
      <c r="Q454" s="69"/>
    </row>
    <row r="455" spans="16:17" s="42" customFormat="1" ht="18.75">
      <c r="P455" s="69"/>
      <c r="Q455" s="69"/>
    </row>
    <row r="456" spans="16:17" s="42" customFormat="1" ht="18.75">
      <c r="P456" s="69"/>
      <c r="Q456" s="69"/>
    </row>
    <row r="457" spans="16:17" s="42" customFormat="1" ht="18.75">
      <c r="P457" s="69"/>
      <c r="Q457" s="69"/>
    </row>
    <row r="458" spans="16:17" s="42" customFormat="1" ht="18.75">
      <c r="P458" s="69"/>
      <c r="Q458" s="69"/>
    </row>
    <row r="459" spans="16:17" s="42" customFormat="1" ht="18.75">
      <c r="P459" s="69"/>
      <c r="Q459" s="69"/>
    </row>
    <row r="460" spans="16:17" s="42" customFormat="1" ht="18.75">
      <c r="P460" s="69"/>
      <c r="Q460" s="69"/>
    </row>
    <row r="461" spans="16:17" s="42" customFormat="1" ht="18.75">
      <c r="P461" s="69"/>
      <c r="Q461" s="69"/>
    </row>
    <row r="462" spans="16:17" s="42" customFormat="1" ht="18.75">
      <c r="P462" s="69"/>
      <c r="Q462" s="69"/>
    </row>
    <row r="463" spans="16:17" s="42" customFormat="1" ht="18.75">
      <c r="P463" s="69"/>
      <c r="Q463" s="69"/>
    </row>
    <row r="464" spans="16:17" s="42" customFormat="1" ht="18.75">
      <c r="P464" s="69"/>
      <c r="Q464" s="69"/>
    </row>
    <row r="465" spans="16:17" s="42" customFormat="1" ht="18.75">
      <c r="P465" s="69"/>
      <c r="Q465" s="69"/>
    </row>
    <row r="466" spans="16:17" s="42" customFormat="1" ht="18.75">
      <c r="P466" s="69"/>
      <c r="Q466" s="69"/>
    </row>
    <row r="467" spans="16:17" s="42" customFormat="1" ht="18.75">
      <c r="P467" s="69"/>
      <c r="Q467" s="69"/>
    </row>
    <row r="468" spans="16:17" s="42" customFormat="1" ht="18.75">
      <c r="P468" s="69"/>
      <c r="Q468" s="69"/>
    </row>
    <row r="469" spans="16:17" s="42" customFormat="1" ht="18.75">
      <c r="P469" s="69"/>
      <c r="Q469" s="69"/>
    </row>
    <row r="470" spans="16:17" s="42" customFormat="1" ht="18.75">
      <c r="P470" s="69"/>
      <c r="Q470" s="69"/>
    </row>
    <row r="471" spans="16:17" s="42" customFormat="1" ht="18.75">
      <c r="P471" s="69"/>
      <c r="Q471" s="69"/>
    </row>
    <row r="472" spans="16:17" s="42" customFormat="1" ht="18.75">
      <c r="P472" s="69"/>
      <c r="Q472" s="69"/>
    </row>
    <row r="473" spans="16:17" s="42" customFormat="1" ht="18.75">
      <c r="P473" s="69"/>
      <c r="Q473" s="69"/>
    </row>
    <row r="474" spans="16:17" s="42" customFormat="1" ht="18.75">
      <c r="P474" s="69"/>
      <c r="Q474" s="69"/>
    </row>
    <row r="475" spans="16:17" s="42" customFormat="1" ht="18.75">
      <c r="P475" s="69"/>
      <c r="Q475" s="69"/>
    </row>
    <row r="476" spans="16:17" s="42" customFormat="1" ht="18.75">
      <c r="P476" s="69"/>
      <c r="Q476" s="69"/>
    </row>
    <row r="477" spans="16:17" s="42" customFormat="1" ht="18.75">
      <c r="P477" s="69"/>
      <c r="Q477" s="69"/>
    </row>
    <row r="478" spans="16:17" s="42" customFormat="1" ht="18.75">
      <c r="P478" s="69"/>
      <c r="Q478" s="69"/>
    </row>
    <row r="479" spans="16:17" s="42" customFormat="1" ht="18.75">
      <c r="P479" s="69"/>
      <c r="Q479" s="69"/>
    </row>
    <row r="480" spans="16:17" s="42" customFormat="1" ht="18.75">
      <c r="P480" s="69"/>
      <c r="Q480" s="69"/>
    </row>
    <row r="481" spans="16:17" s="42" customFormat="1" ht="18.75">
      <c r="P481" s="69"/>
      <c r="Q481" s="69"/>
    </row>
    <row r="482" spans="16:17" s="42" customFormat="1" ht="18.75">
      <c r="P482" s="69"/>
      <c r="Q482" s="69"/>
    </row>
    <row r="483" spans="16:17" s="42" customFormat="1" ht="18.75">
      <c r="P483" s="69"/>
      <c r="Q483" s="69"/>
    </row>
    <row r="484" spans="16:17" s="42" customFormat="1" ht="18.75">
      <c r="P484" s="69"/>
      <c r="Q484" s="69"/>
    </row>
    <row r="485" spans="16:17" s="42" customFormat="1" ht="18.75">
      <c r="P485" s="69"/>
      <c r="Q485" s="69"/>
    </row>
    <row r="486" spans="16:17" s="42" customFormat="1" ht="18.75">
      <c r="P486" s="69"/>
      <c r="Q486" s="69"/>
    </row>
    <row r="487" spans="16:17" s="42" customFormat="1" ht="18.75">
      <c r="P487" s="69"/>
      <c r="Q487" s="69"/>
    </row>
    <row r="488" spans="16:17" s="42" customFormat="1" ht="18.75">
      <c r="P488" s="69"/>
      <c r="Q488" s="69"/>
    </row>
    <row r="489" spans="16:17" s="42" customFormat="1" ht="18.75">
      <c r="P489" s="69"/>
      <c r="Q489" s="69"/>
    </row>
    <row r="490" spans="16:17" s="42" customFormat="1" ht="18.75">
      <c r="P490" s="69"/>
      <c r="Q490" s="69"/>
    </row>
    <row r="491" spans="16:17" s="42" customFormat="1" ht="18.75">
      <c r="P491" s="69"/>
      <c r="Q491" s="69"/>
    </row>
    <row r="492" spans="16:17" s="42" customFormat="1" ht="18.75">
      <c r="P492" s="69"/>
      <c r="Q492" s="69"/>
    </row>
    <row r="493" spans="16:17" s="42" customFormat="1" ht="18.75">
      <c r="P493" s="69"/>
      <c r="Q493" s="69"/>
    </row>
    <row r="494" spans="16:17" s="42" customFormat="1" ht="18.75">
      <c r="P494" s="69"/>
      <c r="Q494" s="69"/>
    </row>
    <row r="495" spans="16:17" s="42" customFormat="1" ht="18.75">
      <c r="P495" s="69"/>
      <c r="Q495" s="69"/>
    </row>
    <row r="496" spans="16:17" s="42" customFormat="1" ht="18.75">
      <c r="P496" s="69"/>
      <c r="Q496" s="69"/>
    </row>
    <row r="497" spans="16:17" s="42" customFormat="1" ht="18.75">
      <c r="P497" s="69"/>
      <c r="Q497" s="69"/>
    </row>
    <row r="498" spans="16:17" s="42" customFormat="1" ht="18.75">
      <c r="P498" s="69"/>
      <c r="Q498" s="69"/>
    </row>
    <row r="499" spans="16:17" s="42" customFormat="1" ht="18.75">
      <c r="P499" s="69"/>
      <c r="Q499" s="69"/>
    </row>
    <row r="500" spans="16:17" s="42" customFormat="1" ht="18.75">
      <c r="P500" s="69"/>
      <c r="Q500" s="69"/>
    </row>
    <row r="501" spans="16:17" s="42" customFormat="1" ht="18.75">
      <c r="P501" s="69"/>
      <c r="Q501" s="69"/>
    </row>
    <row r="502" spans="1:17" s="42" customFormat="1" ht="18.75">
      <c r="A502" s="47"/>
      <c r="B502" s="47"/>
      <c r="C502" s="47"/>
      <c r="D502" s="48"/>
      <c r="E502" s="47"/>
      <c r="F502" s="47"/>
      <c r="G502" s="49"/>
      <c r="H502" s="49"/>
      <c r="I502" s="49"/>
      <c r="J502" s="49"/>
      <c r="K502" s="49"/>
      <c r="L502" s="49"/>
      <c r="M502" s="49"/>
      <c r="N502" s="49"/>
      <c r="O502" s="49"/>
      <c r="P502" s="50"/>
      <c r="Q502" s="50"/>
    </row>
    <row r="503" spans="1:17" s="42" customFormat="1" ht="18.75">
      <c r="A503" s="47"/>
      <c r="B503" s="47"/>
      <c r="C503" s="47"/>
      <c r="D503" s="48"/>
      <c r="E503" s="47"/>
      <c r="F503" s="47"/>
      <c r="G503" s="49"/>
      <c r="H503" s="49"/>
      <c r="I503" s="49"/>
      <c r="J503" s="49"/>
      <c r="K503" s="49"/>
      <c r="L503" s="49"/>
      <c r="M503" s="49"/>
      <c r="N503" s="49"/>
      <c r="O503" s="49"/>
      <c r="P503" s="50"/>
      <c r="Q503" s="50"/>
    </row>
    <row r="504" spans="1:17" s="42" customFormat="1" ht="18.75">
      <c r="A504" s="47"/>
      <c r="B504" s="47"/>
      <c r="C504" s="47"/>
      <c r="D504" s="48"/>
      <c r="E504" s="47"/>
      <c r="F504" s="47"/>
      <c r="G504" s="49"/>
      <c r="H504" s="49"/>
      <c r="I504" s="49"/>
      <c r="J504" s="49"/>
      <c r="K504" s="49"/>
      <c r="L504" s="49"/>
      <c r="M504" s="49"/>
      <c r="N504" s="49"/>
      <c r="O504" s="49"/>
      <c r="P504" s="50"/>
      <c r="Q504" s="50"/>
    </row>
    <row r="505" spans="1:17" s="42" customFormat="1" ht="18.75">
      <c r="A505" s="47"/>
      <c r="B505" s="47"/>
      <c r="C505" s="47"/>
      <c r="D505" s="48"/>
      <c r="E505" s="47"/>
      <c r="F505" s="47"/>
      <c r="G505" s="49"/>
      <c r="H505" s="49"/>
      <c r="I505" s="49"/>
      <c r="J505" s="49"/>
      <c r="K505" s="49"/>
      <c r="L505" s="49"/>
      <c r="M505" s="49"/>
      <c r="N505" s="49"/>
      <c r="O505" s="49"/>
      <c r="P505" s="50"/>
      <c r="Q505" s="50"/>
    </row>
  </sheetData>
  <sheetProtection/>
  <mergeCells count="4">
    <mergeCell ref="A1:O1"/>
    <mergeCell ref="A2:Q2"/>
    <mergeCell ref="A4:F4"/>
    <mergeCell ref="G4:Q4"/>
  </mergeCells>
  <printOptions horizontalCentered="1"/>
  <pageMargins left="0.59" right="0.39" top="0.55" bottom="0.51" header="0.31" footer="0.31"/>
  <pageSetup firstPageNumber="11" useFirstPageNumber="1" horizontalDpi="600" verticalDpi="600" orientation="portrait" paperSize="8" scale="7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showGridLines="0" workbookViewId="0" topLeftCell="A1">
      <pane xSplit="7" ySplit="5" topLeftCell="H6" activePane="bottomRight" state="frozen"/>
      <selection pane="bottomRight" activeCell="G19" sqref="G19"/>
    </sheetView>
  </sheetViews>
  <sheetFormatPr defaultColWidth="9.00390625" defaultRowHeight="14.25"/>
  <cols>
    <col min="1" max="1" width="35.50390625" style="0" customWidth="1"/>
    <col min="2" max="6" width="10.25390625" style="0" customWidth="1"/>
    <col min="7" max="7" width="35.50390625" style="6" customWidth="1"/>
    <col min="8" max="12" width="14.25390625" style="6" hidden="1" customWidth="1"/>
    <col min="13" max="15" width="10.25390625" style="6" customWidth="1"/>
    <col min="16" max="17" width="10.25390625" style="7" customWidth="1"/>
    <col min="18" max="19" width="9.00390625" style="6" customWidth="1"/>
    <col min="20" max="20" width="9.00390625" style="6" hidden="1" customWidth="1"/>
    <col min="21" max="255" width="9.00390625" style="6" customWidth="1"/>
  </cols>
  <sheetData>
    <row r="1" spans="1:7" ht="17.25" customHeight="1">
      <c r="A1" s="8" t="s">
        <v>321</v>
      </c>
      <c r="G1" s="8"/>
    </row>
    <row r="2" spans="1:17" ht="23.25" customHeight="1">
      <c r="A2" s="9" t="s">
        <v>322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19.5" customHeight="1">
      <c r="A3" s="10" t="s">
        <v>323</v>
      </c>
      <c r="G3" s="10"/>
      <c r="H3" s="11"/>
      <c r="I3" s="11"/>
      <c r="J3" s="11"/>
      <c r="K3" s="11"/>
      <c r="L3" s="11"/>
      <c r="M3" s="33"/>
      <c r="N3" s="33"/>
      <c r="O3" s="33"/>
      <c r="P3" s="34"/>
      <c r="Q3" s="37" t="s">
        <v>4</v>
      </c>
    </row>
    <row r="4" spans="1:17" s="1" customFormat="1" ht="19.5" customHeight="1">
      <c r="A4" s="12" t="s">
        <v>134</v>
      </c>
      <c r="B4" s="12"/>
      <c r="C4" s="12"/>
      <c r="D4" s="12"/>
      <c r="E4" s="12"/>
      <c r="F4" s="12"/>
      <c r="G4" s="12" t="s">
        <v>135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2" customFormat="1" ht="42" customHeight="1">
      <c r="A5" s="13" t="s">
        <v>136</v>
      </c>
      <c r="B5" s="13" t="s">
        <v>137</v>
      </c>
      <c r="C5" s="13" t="s">
        <v>138</v>
      </c>
      <c r="D5" s="13" t="s">
        <v>139</v>
      </c>
      <c r="E5" s="13" t="s">
        <v>140</v>
      </c>
      <c r="F5" s="13" t="s">
        <v>141</v>
      </c>
      <c r="G5" s="13" t="s">
        <v>136</v>
      </c>
      <c r="H5" s="14" t="s">
        <v>142</v>
      </c>
      <c r="I5" s="14" t="s">
        <v>143</v>
      </c>
      <c r="J5" s="14" t="s">
        <v>144</v>
      </c>
      <c r="K5" s="14" t="s">
        <v>145</v>
      </c>
      <c r="L5" s="14" t="s">
        <v>29</v>
      </c>
      <c r="M5" s="13" t="s">
        <v>137</v>
      </c>
      <c r="N5" s="13" t="s">
        <v>138</v>
      </c>
      <c r="O5" s="13" t="s">
        <v>139</v>
      </c>
      <c r="P5" s="13" t="s">
        <v>140</v>
      </c>
      <c r="Q5" s="13" t="s">
        <v>141</v>
      </c>
    </row>
    <row r="6" spans="1:17" s="2" customFormat="1" ht="16.5" customHeight="1">
      <c r="A6" s="15" t="s">
        <v>324</v>
      </c>
      <c r="B6" s="16">
        <v>11307.71</v>
      </c>
      <c r="C6" s="16">
        <f>C7+C10</f>
        <v>11237.64</v>
      </c>
      <c r="D6" s="16">
        <f>D7+D10</f>
        <v>9100.11</v>
      </c>
      <c r="E6" s="17">
        <f>C6/B6</f>
        <v>0.993803343028783</v>
      </c>
      <c r="F6" s="17">
        <f>D6/C6-1</f>
        <v>-0.19021164586158645</v>
      </c>
      <c r="G6" s="15" t="s">
        <v>325</v>
      </c>
      <c r="H6" s="14"/>
      <c r="I6" s="14"/>
      <c r="J6" s="14"/>
      <c r="K6" s="14"/>
      <c r="L6" s="14"/>
      <c r="M6" s="16">
        <f aca="true" t="shared" si="0" ref="M6:O6">M7+M9+M15+M17+M19</f>
        <v>5006.93</v>
      </c>
      <c r="N6" s="16">
        <f t="shared" si="0"/>
        <v>3352.1099999999997</v>
      </c>
      <c r="O6" s="16">
        <f t="shared" si="0"/>
        <v>5305.290000000001</v>
      </c>
      <c r="P6" s="35">
        <f aca="true" t="shared" si="1" ref="P6:P8">N6/M6</f>
        <v>0.6694940812034519</v>
      </c>
      <c r="Q6" s="35">
        <f>O6/N6-1</f>
        <v>0.5826718096959829</v>
      </c>
    </row>
    <row r="7" spans="1:17" s="3" customFormat="1" ht="16.5" customHeight="1">
      <c r="A7" s="18" t="s">
        <v>326</v>
      </c>
      <c r="B7" s="19">
        <v>11200</v>
      </c>
      <c r="C7" s="19">
        <v>11129.93</v>
      </c>
      <c r="D7" s="19">
        <v>9100.11</v>
      </c>
      <c r="E7" s="17">
        <f>C7/B7</f>
        <v>0.99374375</v>
      </c>
      <c r="F7" s="17">
        <f>D7/C7-1</f>
        <v>-0.18237491161220243</v>
      </c>
      <c r="G7" s="20" t="s">
        <v>327</v>
      </c>
      <c r="H7" s="21">
        <v>19.86</v>
      </c>
      <c r="I7" s="21">
        <v>19.86</v>
      </c>
      <c r="J7" s="21">
        <v>14.9</v>
      </c>
      <c r="K7" s="21">
        <v>24.83</v>
      </c>
      <c r="L7" s="21">
        <v>19.86</v>
      </c>
      <c r="M7" s="21">
        <v>18.18</v>
      </c>
      <c r="N7" s="21">
        <v>18.18</v>
      </c>
      <c r="O7" s="21">
        <v>18.18</v>
      </c>
      <c r="P7" s="35">
        <f t="shared" si="1"/>
        <v>1</v>
      </c>
      <c r="Q7" s="35">
        <f aca="true" t="shared" si="2" ref="Q7:Q25">O7/N7-1</f>
        <v>0</v>
      </c>
    </row>
    <row r="8" spans="1:20" s="4" customFormat="1" ht="16.5" customHeight="1">
      <c r="A8" s="22" t="s">
        <v>328</v>
      </c>
      <c r="B8" s="23">
        <v>10500</v>
      </c>
      <c r="C8" s="23">
        <v>10492.46</v>
      </c>
      <c r="D8" s="23">
        <v>8600.11</v>
      </c>
      <c r="E8" s="17">
        <f aca="true" t="shared" si="3" ref="E8:E14">C8/B8</f>
        <v>0.9992819047619047</v>
      </c>
      <c r="F8" s="17">
        <f>D8/C8-1</f>
        <v>-0.18035332038435203</v>
      </c>
      <c r="G8" s="24" t="s">
        <v>329</v>
      </c>
      <c r="H8" s="25">
        <v>19.86</v>
      </c>
      <c r="I8" s="25">
        <v>19.86</v>
      </c>
      <c r="J8" s="25">
        <v>14.9</v>
      </c>
      <c r="K8" s="25">
        <v>24.83</v>
      </c>
      <c r="L8" s="25">
        <v>19.86</v>
      </c>
      <c r="M8" s="25">
        <v>18.18</v>
      </c>
      <c r="N8" s="25">
        <v>18.18</v>
      </c>
      <c r="O8" s="26">
        <v>18.18</v>
      </c>
      <c r="P8" s="35">
        <f t="shared" si="1"/>
        <v>1</v>
      </c>
      <c r="Q8" s="35">
        <f t="shared" si="2"/>
        <v>0</v>
      </c>
      <c r="T8" s="38">
        <v>172000</v>
      </c>
    </row>
    <row r="9" spans="1:17" s="3" customFormat="1" ht="16.5" customHeight="1">
      <c r="A9" s="22" t="s">
        <v>330</v>
      </c>
      <c r="B9" s="23">
        <v>700</v>
      </c>
      <c r="C9" s="23">
        <v>637.47</v>
      </c>
      <c r="D9" s="23">
        <v>500</v>
      </c>
      <c r="E9" s="17">
        <f t="shared" si="3"/>
        <v>0.9106714285714286</v>
      </c>
      <c r="F9" s="17">
        <f>D9/C9-1</f>
        <v>-0.21564936389163414</v>
      </c>
      <c r="G9" s="20" t="s">
        <v>331</v>
      </c>
      <c r="H9" s="21">
        <v>9956.48</v>
      </c>
      <c r="I9" s="21">
        <v>2944.65</v>
      </c>
      <c r="J9" s="21">
        <v>5859.54</v>
      </c>
      <c r="K9" s="21">
        <v>4170.06</v>
      </c>
      <c r="L9" s="21">
        <f>SUM(L10:L14)</f>
        <v>11635.57</v>
      </c>
      <c r="M9" s="21">
        <v>4405.54</v>
      </c>
      <c r="N9" s="21">
        <v>2765.1</v>
      </c>
      <c r="O9" s="21">
        <v>4696.25</v>
      </c>
      <c r="P9" s="35">
        <f aca="true" t="shared" si="4" ref="P9:P16">N9/M9</f>
        <v>0.6276415603989522</v>
      </c>
      <c r="Q9" s="35">
        <f t="shared" si="2"/>
        <v>0.6984015044663847</v>
      </c>
    </row>
    <row r="10" spans="1:20" s="4" customFormat="1" ht="16.5" customHeight="1">
      <c r="A10" s="18" t="s">
        <v>332</v>
      </c>
      <c r="B10" s="19">
        <v>107.71</v>
      </c>
      <c r="C10" s="19">
        <v>107.71</v>
      </c>
      <c r="D10" s="19">
        <v>0</v>
      </c>
      <c r="E10" s="17">
        <f t="shared" si="3"/>
        <v>1</v>
      </c>
      <c r="F10" s="17">
        <f>D10/C10-1</f>
        <v>-1</v>
      </c>
      <c r="G10" s="24" t="s">
        <v>333</v>
      </c>
      <c r="H10" s="26">
        <v>8467.07</v>
      </c>
      <c r="I10" s="26">
        <v>2016.42</v>
      </c>
      <c r="J10" s="26">
        <v>4668.82</v>
      </c>
      <c r="K10" s="26">
        <v>3341.57</v>
      </c>
      <c r="L10" s="26">
        <v>10632.83</v>
      </c>
      <c r="M10" s="23">
        <v>3991.08</v>
      </c>
      <c r="N10" s="23">
        <v>2404.16</v>
      </c>
      <c r="O10" s="23">
        <v>4284.88</v>
      </c>
      <c r="P10" s="35">
        <f t="shared" si="4"/>
        <v>0.6023833147919861</v>
      </c>
      <c r="Q10" s="35">
        <f t="shared" si="2"/>
        <v>0.7822773858645016</v>
      </c>
      <c r="T10" s="38">
        <v>30800</v>
      </c>
    </row>
    <row r="11" spans="1:17" s="3" customFormat="1" ht="16.5" customHeight="1">
      <c r="A11" s="27" t="s">
        <v>334</v>
      </c>
      <c r="B11" s="23">
        <v>0</v>
      </c>
      <c r="C11" s="23">
        <v>0</v>
      </c>
      <c r="D11" s="19">
        <v>0</v>
      </c>
      <c r="E11" s="19">
        <v>0</v>
      </c>
      <c r="F11" s="19">
        <v>0</v>
      </c>
      <c r="G11" s="24" t="s">
        <v>335</v>
      </c>
      <c r="H11" s="26">
        <v>210.93</v>
      </c>
      <c r="I11" s="26">
        <v>183.25</v>
      </c>
      <c r="J11" s="26">
        <v>247.17</v>
      </c>
      <c r="K11" s="26">
        <v>220.55</v>
      </c>
      <c r="L11" s="26">
        <v>161.61</v>
      </c>
      <c r="M11" s="23">
        <v>25.71</v>
      </c>
      <c r="N11" s="23">
        <v>34.43</v>
      </c>
      <c r="O11" s="23">
        <v>0</v>
      </c>
      <c r="P11" s="35">
        <f t="shared" si="4"/>
        <v>1.3391676390509528</v>
      </c>
      <c r="Q11" s="35">
        <f t="shared" si="2"/>
        <v>-1</v>
      </c>
    </row>
    <row r="12" spans="1:20" s="4" customFormat="1" ht="16.5" customHeight="1">
      <c r="A12" s="27" t="s">
        <v>336</v>
      </c>
      <c r="B12" s="23">
        <v>0</v>
      </c>
      <c r="C12" s="23">
        <v>0</v>
      </c>
      <c r="D12" s="23">
        <v>0</v>
      </c>
      <c r="E12" s="23">
        <v>0</v>
      </c>
      <c r="F12" s="19">
        <v>0</v>
      </c>
      <c r="G12" s="24" t="s">
        <v>337</v>
      </c>
      <c r="H12" s="26">
        <v>120.98</v>
      </c>
      <c r="I12" s="26">
        <v>115.09</v>
      </c>
      <c r="J12" s="26">
        <v>573.57</v>
      </c>
      <c r="K12" s="26">
        <v>343.09</v>
      </c>
      <c r="L12" s="26">
        <v>200.16</v>
      </c>
      <c r="M12" s="23">
        <v>0</v>
      </c>
      <c r="N12" s="23">
        <v>0</v>
      </c>
      <c r="O12" s="23">
        <v>0</v>
      </c>
      <c r="P12" s="16">
        <v>0</v>
      </c>
      <c r="Q12" s="23">
        <v>0</v>
      </c>
      <c r="T12" s="38">
        <v>198600</v>
      </c>
    </row>
    <row r="13" spans="1:17" s="3" customFormat="1" ht="16.5" customHeight="1">
      <c r="A13" s="27" t="s">
        <v>338</v>
      </c>
      <c r="B13" s="23">
        <v>107.71</v>
      </c>
      <c r="C13" s="23">
        <v>107.71</v>
      </c>
      <c r="D13" s="23">
        <v>0</v>
      </c>
      <c r="E13" s="17">
        <f t="shared" si="3"/>
        <v>1</v>
      </c>
      <c r="F13" s="17">
        <f>D13/C13-1</f>
        <v>-1</v>
      </c>
      <c r="G13" s="24" t="s">
        <v>339</v>
      </c>
      <c r="H13" s="26">
        <v>907.5</v>
      </c>
      <c r="I13" s="26">
        <v>624.38</v>
      </c>
      <c r="J13" s="26">
        <v>369.98</v>
      </c>
      <c r="K13" s="26">
        <v>264.85</v>
      </c>
      <c r="L13" s="26">
        <v>188.06</v>
      </c>
      <c r="M13" s="23">
        <v>0</v>
      </c>
      <c r="N13" s="23">
        <v>33.46</v>
      </c>
      <c r="O13" s="23">
        <v>0</v>
      </c>
      <c r="P13" s="16">
        <v>0</v>
      </c>
      <c r="Q13" s="35">
        <f t="shared" si="2"/>
        <v>-1</v>
      </c>
    </row>
    <row r="14" spans="1:20" s="4" customFormat="1" ht="16.5" customHeight="1">
      <c r="A14" s="27" t="s">
        <v>340</v>
      </c>
      <c r="B14" s="23">
        <v>89.71</v>
      </c>
      <c r="C14" s="23">
        <v>89.71</v>
      </c>
      <c r="D14" s="23">
        <v>0</v>
      </c>
      <c r="E14" s="17">
        <f t="shared" si="3"/>
        <v>1</v>
      </c>
      <c r="F14" s="17">
        <f>D14/C14-1</f>
        <v>-1</v>
      </c>
      <c r="G14" s="24" t="s">
        <v>341</v>
      </c>
      <c r="H14" s="25"/>
      <c r="I14" s="25"/>
      <c r="J14" s="16">
        <v>0</v>
      </c>
      <c r="K14" s="16">
        <v>0</v>
      </c>
      <c r="L14" s="25">
        <v>452.91</v>
      </c>
      <c r="M14" s="23">
        <v>388.75</v>
      </c>
      <c r="N14" s="23">
        <v>293.05</v>
      </c>
      <c r="O14" s="23">
        <v>411.37</v>
      </c>
      <c r="P14" s="35">
        <f t="shared" si="4"/>
        <v>0.7538263665594855</v>
      </c>
      <c r="Q14" s="35">
        <f t="shared" si="2"/>
        <v>0.40375362566115003</v>
      </c>
      <c r="T14" s="38">
        <v>81954238.03</v>
      </c>
    </row>
    <row r="15" spans="1:20" s="4" customFormat="1" ht="16.5" customHeight="1">
      <c r="A15" s="27"/>
      <c r="B15" s="23"/>
      <c r="C15" s="23"/>
      <c r="D15" s="23"/>
      <c r="E15" s="28"/>
      <c r="F15" s="19"/>
      <c r="G15" s="20" t="s">
        <v>342</v>
      </c>
      <c r="H15" s="21">
        <v>87.05</v>
      </c>
      <c r="I15" s="21">
        <v>145.74</v>
      </c>
      <c r="J15" s="21">
        <v>229.26</v>
      </c>
      <c r="K15" s="21">
        <v>239.62</v>
      </c>
      <c r="L15" s="21">
        <f>L16</f>
        <v>329.51</v>
      </c>
      <c r="M15" s="21">
        <v>243.21</v>
      </c>
      <c r="N15" s="21">
        <v>235.37</v>
      </c>
      <c r="O15" s="21">
        <v>261.06</v>
      </c>
      <c r="P15" s="35">
        <f t="shared" si="4"/>
        <v>0.9677644833682826</v>
      </c>
      <c r="Q15" s="35">
        <f t="shared" si="2"/>
        <v>0.10914729999575146</v>
      </c>
      <c r="T15" s="38">
        <v>1938385.93</v>
      </c>
    </row>
    <row r="16" spans="1:20" s="4" customFormat="1" ht="16.5" customHeight="1">
      <c r="A16" s="18" t="s">
        <v>343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24" t="s">
        <v>344</v>
      </c>
      <c r="H16" s="26">
        <v>87.05</v>
      </c>
      <c r="I16" s="26">
        <v>145.74</v>
      </c>
      <c r="J16" s="26">
        <v>229.26</v>
      </c>
      <c r="K16" s="26">
        <v>239.62</v>
      </c>
      <c r="L16" s="26">
        <v>329.51</v>
      </c>
      <c r="M16" s="26">
        <v>243.21</v>
      </c>
      <c r="N16" s="26">
        <v>235.37</v>
      </c>
      <c r="O16" s="26">
        <v>261.06</v>
      </c>
      <c r="P16" s="35">
        <f t="shared" si="4"/>
        <v>0.9677644833682826</v>
      </c>
      <c r="Q16" s="35">
        <f t="shared" si="2"/>
        <v>0.10914729999575146</v>
      </c>
      <c r="T16" s="38"/>
    </row>
    <row r="17" spans="1:20" s="4" customFormat="1" ht="16.5" customHeight="1">
      <c r="A17" s="29"/>
      <c r="B17" s="29"/>
      <c r="C17" s="29"/>
      <c r="D17" s="29"/>
      <c r="E17" s="30"/>
      <c r="F17" s="19"/>
      <c r="G17" s="20" t="s">
        <v>345</v>
      </c>
      <c r="H17" s="21"/>
      <c r="I17" s="21"/>
      <c r="J17" s="16">
        <v>0</v>
      </c>
      <c r="K17" s="21">
        <v>18.01</v>
      </c>
      <c r="L17" s="21">
        <v>400</v>
      </c>
      <c r="M17" s="21">
        <v>340</v>
      </c>
      <c r="N17" s="21">
        <v>333.46</v>
      </c>
      <c r="O17" s="21">
        <v>329.8</v>
      </c>
      <c r="P17" s="35">
        <f aca="true" t="shared" si="5" ref="P17:P22">N17/M17</f>
        <v>0.9807647058823529</v>
      </c>
      <c r="Q17" s="35">
        <f t="shared" si="2"/>
        <v>-0.010975829184909691</v>
      </c>
      <c r="T17" s="38"/>
    </row>
    <row r="18" spans="1:20" s="4" customFormat="1" ht="16.5" customHeight="1">
      <c r="A18" s="15" t="s">
        <v>346</v>
      </c>
      <c r="B18" s="16">
        <v>2468.35</v>
      </c>
      <c r="C18" s="16">
        <v>2468.35</v>
      </c>
      <c r="D18" s="16">
        <v>3370</v>
      </c>
      <c r="E18" s="17">
        <f>C18/B18</f>
        <v>1</v>
      </c>
      <c r="F18" s="17">
        <f>D18/C18-1</f>
        <v>0.36528450179269556</v>
      </c>
      <c r="G18" s="24" t="s">
        <v>347</v>
      </c>
      <c r="H18" s="26"/>
      <c r="I18" s="26"/>
      <c r="J18" s="16">
        <v>0</v>
      </c>
      <c r="K18" s="26">
        <v>18.01</v>
      </c>
      <c r="L18" s="26">
        <v>400</v>
      </c>
      <c r="M18" s="23">
        <v>340</v>
      </c>
      <c r="N18" s="23">
        <v>333.46</v>
      </c>
      <c r="O18" s="23">
        <v>329.8</v>
      </c>
      <c r="P18" s="35">
        <f t="shared" si="5"/>
        <v>0.9807647058823529</v>
      </c>
      <c r="Q18" s="35">
        <f t="shared" si="2"/>
        <v>-0.010975829184909691</v>
      </c>
      <c r="T18" s="38"/>
    </row>
    <row r="19" spans="1:20" s="4" customFormat="1" ht="16.5" customHeight="1">
      <c r="A19" s="29"/>
      <c r="B19" s="29"/>
      <c r="C19" s="29"/>
      <c r="D19" s="29"/>
      <c r="E19" s="29"/>
      <c r="F19" s="19"/>
      <c r="G19" s="20" t="s">
        <v>348</v>
      </c>
      <c r="H19" s="21"/>
      <c r="I19" s="21"/>
      <c r="J19" s="16">
        <v>0</v>
      </c>
      <c r="K19" s="21">
        <v>8.85</v>
      </c>
      <c r="L19" s="21">
        <v>5.5</v>
      </c>
      <c r="M19" s="23">
        <v>0</v>
      </c>
      <c r="N19" s="23">
        <v>0</v>
      </c>
      <c r="O19" s="23">
        <v>0</v>
      </c>
      <c r="P19" s="16">
        <v>0</v>
      </c>
      <c r="Q19" s="23">
        <v>0</v>
      </c>
      <c r="T19" s="38">
        <v>3897178.21</v>
      </c>
    </row>
    <row r="20" spans="1:20" s="4" customFormat="1" ht="16.5" customHeight="1">
      <c r="A20" s="29"/>
      <c r="B20" s="29"/>
      <c r="C20" s="29"/>
      <c r="D20" s="29"/>
      <c r="E20" s="29"/>
      <c r="F20" s="19"/>
      <c r="G20" s="24" t="s">
        <v>349</v>
      </c>
      <c r="H20" s="26"/>
      <c r="I20" s="26"/>
      <c r="J20" s="16">
        <v>0</v>
      </c>
      <c r="K20" s="26">
        <v>8.85</v>
      </c>
      <c r="L20" s="26">
        <v>5.5</v>
      </c>
      <c r="M20" s="36">
        <v>0</v>
      </c>
      <c r="N20" s="36">
        <v>0</v>
      </c>
      <c r="O20" s="16">
        <v>0</v>
      </c>
      <c r="P20" s="16">
        <v>0</v>
      </c>
      <c r="Q20" s="23">
        <v>0</v>
      </c>
      <c r="T20" s="39"/>
    </row>
    <row r="21" spans="1:20" s="4" customFormat="1" ht="16.5" customHeight="1">
      <c r="A21" s="29"/>
      <c r="B21" s="29"/>
      <c r="C21" s="29"/>
      <c r="D21" s="29"/>
      <c r="E21" s="29"/>
      <c r="F21" s="19"/>
      <c r="G21" s="24"/>
      <c r="H21" s="26"/>
      <c r="I21" s="26"/>
      <c r="J21" s="16"/>
      <c r="K21" s="26"/>
      <c r="L21" s="26"/>
      <c r="M21" s="26"/>
      <c r="N21" s="26"/>
      <c r="O21" s="26"/>
      <c r="P21" s="16"/>
      <c r="Q21" s="23">
        <v>0</v>
      </c>
      <c r="T21" s="40"/>
    </row>
    <row r="22" spans="1:20" s="4" customFormat="1" ht="16.5" customHeight="1">
      <c r="A22" s="29"/>
      <c r="B22" s="29"/>
      <c r="C22" s="29"/>
      <c r="D22" s="29"/>
      <c r="E22" s="29"/>
      <c r="F22" s="19"/>
      <c r="G22" s="15" t="s">
        <v>350</v>
      </c>
      <c r="H22" s="21"/>
      <c r="I22" s="21"/>
      <c r="J22" s="16"/>
      <c r="K22" s="21"/>
      <c r="L22" s="21"/>
      <c r="M22" s="16">
        <v>6000</v>
      </c>
      <c r="N22" s="21">
        <v>6983.88</v>
      </c>
      <c r="O22" s="16">
        <v>7149.62</v>
      </c>
      <c r="P22" s="35">
        <f t="shared" si="5"/>
        <v>1.16398</v>
      </c>
      <c r="Q22" s="35">
        <f t="shared" si="2"/>
        <v>0.023731793787980182</v>
      </c>
      <c r="T22" s="38">
        <v>1485434.4</v>
      </c>
    </row>
    <row r="23" spans="1:20" s="4" customFormat="1" ht="16.5" customHeight="1">
      <c r="A23" s="29"/>
      <c r="B23" s="29"/>
      <c r="C23" s="29"/>
      <c r="D23" s="29"/>
      <c r="E23" s="29"/>
      <c r="F23" s="19"/>
      <c r="G23" s="15"/>
      <c r="H23" s="21"/>
      <c r="I23" s="21"/>
      <c r="J23" s="16"/>
      <c r="K23" s="21"/>
      <c r="L23" s="21"/>
      <c r="M23" s="16"/>
      <c r="N23" s="21"/>
      <c r="O23" s="16"/>
      <c r="P23" s="35"/>
      <c r="Q23" s="23">
        <v>0</v>
      </c>
      <c r="T23" s="40"/>
    </row>
    <row r="24" spans="1:20" s="4" customFormat="1" ht="16.5" customHeight="1">
      <c r="A24" s="29"/>
      <c r="B24" s="29"/>
      <c r="C24" s="29"/>
      <c r="D24" s="29"/>
      <c r="E24" s="29"/>
      <c r="F24" s="19"/>
      <c r="G24" s="15" t="s">
        <v>351</v>
      </c>
      <c r="H24" s="26"/>
      <c r="I24" s="26"/>
      <c r="J24" s="16"/>
      <c r="K24" s="26"/>
      <c r="L24" s="26"/>
      <c r="M24" s="21">
        <v>2769.13</v>
      </c>
      <c r="N24" s="21">
        <v>3370</v>
      </c>
      <c r="O24" s="21">
        <v>15.2</v>
      </c>
      <c r="P24" s="35">
        <f>N24/M24</f>
        <v>1.2169887293120945</v>
      </c>
      <c r="Q24" s="35">
        <f t="shared" si="2"/>
        <v>-0.9954896142433235</v>
      </c>
      <c r="T24" s="39"/>
    </row>
    <row r="25" spans="1:20" s="4" customFormat="1" ht="16.5" customHeight="1">
      <c r="A25" s="31" t="s">
        <v>313</v>
      </c>
      <c r="B25" s="16">
        <f>B6+B18+B16</f>
        <v>13776.06</v>
      </c>
      <c r="C25" s="16">
        <f>C6+C18+C16</f>
        <v>13705.99</v>
      </c>
      <c r="D25" s="16">
        <f>D6+D18+D16</f>
        <v>12470.11</v>
      </c>
      <c r="E25" s="17">
        <f>C25/B25</f>
        <v>0.9949136400393146</v>
      </c>
      <c r="F25" s="17">
        <f>D25/C25-1</f>
        <v>-0.09017079393754113</v>
      </c>
      <c r="G25" s="31" t="s">
        <v>314</v>
      </c>
      <c r="H25" s="16" t="e">
        <f>H15+H9+#REF!+H7+#REF!+#REF!+#REF!+#REF!+#REF!</f>
        <v>#REF!</v>
      </c>
      <c r="I25" s="16" t="e">
        <f>I15+I9+#REF!+I7+#REF!+#REF!+#REF!+#REF!+#REF!</f>
        <v>#REF!</v>
      </c>
      <c r="J25" s="16" t="e">
        <f>J15+J9+#REF!+J7+#REF!+#REF!+#REF!+#REF!+#REF!+#REF!+J17+J19</f>
        <v>#REF!</v>
      </c>
      <c r="K25" s="16" t="e">
        <f>K15+K9+#REF!+K7+#REF!+#REF!+#REF!+#REF!+#REF!+#REF!+K17+K19</f>
        <v>#REF!</v>
      </c>
      <c r="L25" s="16" t="e">
        <f>L15+L9+#REF!+L7+#REF!+#REF!+#REF!+#REF!+#REF!+#REF!+L17+L19+0.01</f>
        <v>#REF!</v>
      </c>
      <c r="M25" s="16">
        <f aca="true" t="shared" si="6" ref="M25:O25">M6+M22+M24</f>
        <v>13776.060000000001</v>
      </c>
      <c r="N25" s="16">
        <f t="shared" si="6"/>
        <v>13705.99</v>
      </c>
      <c r="O25" s="16">
        <f t="shared" si="6"/>
        <v>12470.11</v>
      </c>
      <c r="P25" s="35">
        <f>N25/M25</f>
        <v>0.9949136400393145</v>
      </c>
      <c r="Q25" s="35">
        <f t="shared" si="2"/>
        <v>-0.09017079393754113</v>
      </c>
      <c r="T25" s="39"/>
    </row>
    <row r="26" spans="1:20" s="4" customFormat="1" ht="16.5" customHeight="1">
      <c r="A26"/>
      <c r="B26"/>
      <c r="C26"/>
      <c r="D26"/>
      <c r="E26"/>
      <c r="F2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T26" s="39"/>
    </row>
    <row r="27" spans="1:20" s="4" customFormat="1" ht="16.5" customHeight="1">
      <c r="A27"/>
      <c r="B27"/>
      <c r="C27"/>
      <c r="D27"/>
      <c r="E27"/>
      <c r="F27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T27" s="39"/>
    </row>
    <row r="28" spans="1:20" s="4" customFormat="1" ht="16.5" customHeight="1">
      <c r="A28"/>
      <c r="B28"/>
      <c r="C28"/>
      <c r="D28"/>
      <c r="E28"/>
      <c r="F28"/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T28" s="39"/>
    </row>
    <row r="29" spans="1:20" s="4" customFormat="1" ht="16.5" customHeight="1">
      <c r="A29"/>
      <c r="B29"/>
      <c r="C29"/>
      <c r="D29"/>
      <c r="E29"/>
      <c r="F29"/>
      <c r="G29" s="6"/>
      <c r="H29" s="6"/>
      <c r="I29" s="6"/>
      <c r="J29" s="6"/>
      <c r="K29" s="6"/>
      <c r="L29" s="6"/>
      <c r="M29" s="6"/>
      <c r="N29" s="6"/>
      <c r="O29" s="6"/>
      <c r="P29" s="7"/>
      <c r="Q29" s="7"/>
      <c r="T29" s="39"/>
    </row>
    <row r="30" spans="1:20" s="4" customFormat="1" ht="16.5" customHeight="1">
      <c r="A30"/>
      <c r="B30"/>
      <c r="C30"/>
      <c r="D30"/>
      <c r="E30"/>
      <c r="F30"/>
      <c r="G30" s="6"/>
      <c r="H30" s="6"/>
      <c r="I30" s="6"/>
      <c r="J30" s="6"/>
      <c r="K30" s="6"/>
      <c r="L30" s="6"/>
      <c r="M30" s="6"/>
      <c r="N30" s="6"/>
      <c r="O30" s="6"/>
      <c r="P30" s="7"/>
      <c r="Q30" s="7"/>
      <c r="T30" s="39"/>
    </row>
    <row r="31" spans="1:20" s="4" customFormat="1" ht="16.5" customHeight="1">
      <c r="A31"/>
      <c r="B31"/>
      <c r="C31"/>
      <c r="D31"/>
      <c r="E31"/>
      <c r="F31"/>
      <c r="G31" s="6"/>
      <c r="H31" s="6"/>
      <c r="I31" s="6"/>
      <c r="J31" s="6"/>
      <c r="K31" s="6"/>
      <c r="L31" s="6"/>
      <c r="M31" s="6"/>
      <c r="N31" s="6"/>
      <c r="O31" s="6"/>
      <c r="P31" s="7"/>
      <c r="Q31" s="7"/>
      <c r="T31" s="39"/>
    </row>
    <row r="32" spans="1:20" s="4" customFormat="1" ht="16.5" customHeight="1">
      <c r="A32"/>
      <c r="B32"/>
      <c r="C32"/>
      <c r="D32"/>
      <c r="E32"/>
      <c r="F32"/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T32" s="39"/>
    </row>
    <row r="33" spans="1:20" s="4" customFormat="1" ht="16.5" customHeight="1">
      <c r="A33"/>
      <c r="B33"/>
      <c r="C33"/>
      <c r="D33"/>
      <c r="E33"/>
      <c r="F33"/>
      <c r="G33" s="6"/>
      <c r="H33" s="6"/>
      <c r="I33" s="6"/>
      <c r="J33" s="6"/>
      <c r="K33" s="6"/>
      <c r="L33" s="6"/>
      <c r="M33" s="6"/>
      <c r="N33" s="6"/>
      <c r="O33" s="6"/>
      <c r="P33" s="7"/>
      <c r="Q33" s="7"/>
      <c r="T33" s="41"/>
    </row>
    <row r="34" spans="1:20" s="4" customFormat="1" ht="16.5" customHeight="1">
      <c r="A34"/>
      <c r="B34"/>
      <c r="C34"/>
      <c r="D34"/>
      <c r="E34"/>
      <c r="F34"/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T34" s="41"/>
    </row>
    <row r="35" spans="1:20" s="4" customFormat="1" ht="16.5" customHeight="1">
      <c r="A35"/>
      <c r="B35"/>
      <c r="C35"/>
      <c r="D35"/>
      <c r="E35"/>
      <c r="F35"/>
      <c r="G35" s="6"/>
      <c r="H35" s="6"/>
      <c r="I35" s="6"/>
      <c r="J35" s="6"/>
      <c r="K35" s="6"/>
      <c r="L35" s="6"/>
      <c r="M35" s="6"/>
      <c r="N35" s="6"/>
      <c r="O35" s="6"/>
      <c r="P35" s="7"/>
      <c r="Q35" s="7"/>
      <c r="T35" s="41"/>
    </row>
    <row r="36" spans="1:17" s="5" customFormat="1" ht="16.5" customHeight="1">
      <c r="A36"/>
      <c r="B36"/>
      <c r="C36"/>
      <c r="D36"/>
      <c r="E36"/>
      <c r="F36"/>
      <c r="G36" s="6"/>
      <c r="H36" s="6"/>
      <c r="I36" s="6"/>
      <c r="J36" s="6"/>
      <c r="K36" s="6"/>
      <c r="L36" s="6"/>
      <c r="M36" s="6"/>
      <c r="N36" s="6"/>
      <c r="O36" s="6"/>
      <c r="P36" s="7"/>
      <c r="Q36" s="7"/>
    </row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</sheetData>
  <sheetProtection/>
  <mergeCells count="3">
    <mergeCell ref="A2:Q2"/>
    <mergeCell ref="A4:F4"/>
    <mergeCell ref="G4:Q4"/>
  </mergeCells>
  <printOptions horizontalCentered="1"/>
  <pageMargins left="0.39" right="0.39" top="0.58" bottom="0.39" header="0.93" footer="0.31"/>
  <pageSetup firstPageNumber="16" useFirstPageNumber="1" horizontalDpi="600" verticalDpi="600" orientation="landscape" paperSize="9" scale="75"/>
  <headerFooter scaleWithDoc="0" alignWithMargins="0">
    <oddFooter>&amp;C&amp;"Times New Roman,常规"— 15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SWCZ001</dc:creator>
  <cp:keywords/>
  <dc:description/>
  <cp:lastModifiedBy>SWCZ001</cp:lastModifiedBy>
  <cp:lastPrinted>2017-03-06T01:07:31Z</cp:lastPrinted>
  <dcterms:created xsi:type="dcterms:W3CDTF">2014-01-26T06:12:49Z</dcterms:created>
  <dcterms:modified xsi:type="dcterms:W3CDTF">2019-03-01T02:11:24Z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