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35" activeTab="1"/>
  </bookViews>
  <sheets>
    <sheet name="2017决算及2018预算（草案）" sheetId="1" r:id="rId1"/>
    <sheet name="一般公共预算收支明细表（草案）" sheetId="2" r:id="rId2"/>
    <sheet name="基金预算收支明细表（草案）" sheetId="3" r:id="rId3"/>
  </sheets>
  <definedNames>
    <definedName name="_xlnm.Print_Area" localSheetId="0">'2017决算及2018预算（草案）'!$A$1:$BL$62</definedName>
    <definedName name="_xlnm.Print_Area" localSheetId="1">'一般公共预算收支明细表（草案）'!$A$1:$Q$154</definedName>
    <definedName name="_xlnm.Print_Area" localSheetId="2">'基金预算收支明细表（草案）'!$A$1:$Q$31</definedName>
    <definedName name="_xlnm.Print_Titles" localSheetId="1">'一般公共预算收支明细表（草案）'!$5:$5</definedName>
  </definedNames>
  <calcPr fullCalcOnLoad="1"/>
</workbook>
</file>

<file path=xl/sharedStrings.xml><?xml version="1.0" encoding="utf-8"?>
<sst xmlns="http://schemas.openxmlformats.org/spreadsheetml/2006/main" count="371" uniqueCount="283">
  <si>
    <t>附件1：</t>
  </si>
  <si>
    <t>神湾镇2017年财政决算及2018年财政预算收支情况表(草案）</t>
  </si>
  <si>
    <t>编制单位:中山市财政局神湾分局</t>
  </si>
  <si>
    <t>单位:万元</t>
  </si>
  <si>
    <t>单位：万元</t>
  </si>
  <si>
    <t>收入项目</t>
  </si>
  <si>
    <t>08比07决算增长数</t>
  </si>
  <si>
    <t>09比08预算增长数</t>
  </si>
  <si>
    <t>2010年决算</t>
  </si>
  <si>
    <t>2011年预算</t>
  </si>
  <si>
    <t>2011年决算</t>
  </si>
  <si>
    <t>2012年预算</t>
  </si>
  <si>
    <t>2013年决算</t>
  </si>
  <si>
    <t>2014年预算</t>
  </si>
  <si>
    <t>2014年决算</t>
  </si>
  <si>
    <t>2015年预算</t>
  </si>
  <si>
    <t>2014年决算比2013年决算增长</t>
  </si>
  <si>
    <t>2015年决算</t>
  </si>
  <si>
    <t>2016年预算</t>
  </si>
  <si>
    <t>2014年预算
执行情况</t>
  </si>
  <si>
    <t>2015年预算比2014年决算增长</t>
  </si>
  <si>
    <t>2012年决算比2011年决算增长</t>
  </si>
  <si>
    <t>2012年预算
执行情况</t>
  </si>
  <si>
    <t>2013年预算比2012年决算增长</t>
  </si>
  <si>
    <t>2011年决算比2010年决算</t>
  </si>
  <si>
    <t>2011年预算执行情况</t>
  </si>
  <si>
    <t>2012年预算比2011年决算</t>
  </si>
  <si>
    <t>2016年决算</t>
  </si>
  <si>
    <t>2017年预算
年初</t>
  </si>
  <si>
    <t>2017预算数</t>
  </si>
  <si>
    <t>2017年决算</t>
  </si>
  <si>
    <t>2018年预算</t>
  </si>
  <si>
    <t>2016年预算
执行情况</t>
  </si>
  <si>
    <t>2017预算同比实绩增长</t>
  </si>
  <si>
    <t>2017年预算
执行情况</t>
  </si>
  <si>
    <t>2018预算同比实绩增长</t>
  </si>
  <si>
    <t>支出项目</t>
  </si>
  <si>
    <t xml:space="preserve">2012预算 </t>
  </si>
  <si>
    <r>
      <t>2017</t>
    </r>
    <r>
      <rPr>
        <sz val="12"/>
        <rFont val="黑体"/>
        <family val="0"/>
      </rPr>
      <t>预算同比实绩增长</t>
    </r>
  </si>
  <si>
    <t xml:space="preserve"> 一、一般公共预算收入</t>
  </si>
  <si>
    <t>一、一般公共预算支出</t>
  </si>
  <si>
    <t>（一）税收分成收入</t>
  </si>
  <si>
    <t>（一）一般公共服务支出</t>
  </si>
  <si>
    <t>（二）非税收入</t>
  </si>
  <si>
    <t>（二）公共安全支出</t>
  </si>
  <si>
    <t xml:space="preserve">  1、专项收入</t>
  </si>
  <si>
    <t>（三）教育支出</t>
  </si>
  <si>
    <t xml:space="preserve">       （1）市返收费收入</t>
  </si>
  <si>
    <t>（四）科学技术支出</t>
  </si>
  <si>
    <t xml:space="preserve">  2、行政事业性收费收入</t>
  </si>
  <si>
    <t>（五）文化体育与传媒支出</t>
  </si>
  <si>
    <t xml:space="preserve">       （1）本镇区征收收费收入</t>
  </si>
  <si>
    <t>（六）社会保障和就业支出</t>
  </si>
  <si>
    <t xml:space="preserve">       （2）市返收费收入</t>
  </si>
  <si>
    <t>（七）医疗卫生与计划生育支出</t>
  </si>
  <si>
    <t xml:space="preserve">  3、国有资源(资产)有偿使用收入</t>
  </si>
  <si>
    <t>（八）节能环保支出</t>
  </si>
  <si>
    <t xml:space="preserve">  4、其他收入</t>
  </si>
  <si>
    <t>（九）城乡社区支出</t>
  </si>
  <si>
    <t>（十）农林水支出</t>
  </si>
  <si>
    <t>二、上级补助收入</t>
  </si>
  <si>
    <t>（十一）交通运输支出</t>
  </si>
  <si>
    <t>（一）一般性转移支付收入</t>
  </si>
  <si>
    <t>（十二）资源勘探信息等支出</t>
  </si>
  <si>
    <t>（二）专项转移支付收入</t>
  </si>
  <si>
    <t>（十三）商业服务业等支出</t>
  </si>
  <si>
    <t>（十四）国土海洋气象等支出</t>
  </si>
  <si>
    <t>三、政府性基金预算收入</t>
  </si>
  <si>
    <t>（十五）预备费</t>
  </si>
  <si>
    <t>（一）政府性基金非税收入</t>
  </si>
  <si>
    <t>（十六）金融支出</t>
  </si>
  <si>
    <t>（二）政府性基金补助收入</t>
  </si>
  <si>
    <t>（十七）住房保障支出</t>
  </si>
  <si>
    <t>（十八）粮油物资储备支出</t>
  </si>
  <si>
    <t>四、债券转贷收入</t>
  </si>
  <si>
    <t>（十九）债务付息支出</t>
  </si>
  <si>
    <t>（一）一般债券转贷收入</t>
  </si>
  <si>
    <t>（二）专项债券转贷收入</t>
  </si>
  <si>
    <t>二、政府性基金预算支出</t>
  </si>
  <si>
    <t>（一）社会保障和就业支出</t>
  </si>
  <si>
    <t>五、财政专户管理收入</t>
  </si>
  <si>
    <t>（二）城乡社区支出</t>
  </si>
  <si>
    <t>（一）医疗收费收入</t>
  </si>
  <si>
    <t>（三）其他支出</t>
  </si>
  <si>
    <t>（二）教育收费收入</t>
  </si>
  <si>
    <t>（四）债务付息支出</t>
  </si>
  <si>
    <t>（五）债务发行费用支出</t>
  </si>
  <si>
    <t>收入合计</t>
  </si>
  <si>
    <t>三、财政专户管理支出</t>
  </si>
  <si>
    <t>四、上年结余</t>
  </si>
  <si>
    <t>（一）医疗收费收入对应支出</t>
  </si>
  <si>
    <t>（一）一般公共预算结余</t>
  </si>
  <si>
    <t>（二）教育收费收入对应支出</t>
  </si>
  <si>
    <t>（二）基金预算结余</t>
  </si>
  <si>
    <t>支出合计</t>
  </si>
  <si>
    <t>财政总收入合计</t>
  </si>
  <si>
    <t>财政总支出合计</t>
  </si>
  <si>
    <t>附件2：</t>
  </si>
  <si>
    <t>神湾镇2018年一般公共预算收支明细表(草案)</t>
  </si>
  <si>
    <t>科目名称</t>
  </si>
  <si>
    <t>2017
预算数</t>
  </si>
  <si>
    <t>2017
决算数</t>
  </si>
  <si>
    <t>2018
预算数</t>
  </si>
  <si>
    <t>2017
预算执行</t>
  </si>
  <si>
    <t>2018
预算增长</t>
  </si>
  <si>
    <t>2015预算数</t>
  </si>
  <si>
    <t>2015决算数</t>
  </si>
  <si>
    <t>2016预算数</t>
  </si>
  <si>
    <t>2016决算数</t>
  </si>
  <si>
    <t>一、一般公共预算收入</t>
  </si>
  <si>
    <t xml:space="preserve">    人大事务 </t>
  </si>
  <si>
    <t xml:space="preserve">    政协事务 </t>
  </si>
  <si>
    <t xml:space="preserve">    政府办公厅（室）及相关机构事务 </t>
  </si>
  <si>
    <t xml:space="preserve">  3、罚没收入分成</t>
  </si>
  <si>
    <t xml:space="preserve">    发展与改革事务 </t>
  </si>
  <si>
    <t xml:space="preserve">  4、国有资本经营收入</t>
  </si>
  <si>
    <t xml:space="preserve">    统计信息事务 </t>
  </si>
  <si>
    <t xml:space="preserve">  5、国有资源（资产）有偿使用收入</t>
  </si>
  <si>
    <t xml:space="preserve">    财政事务 </t>
  </si>
  <si>
    <t xml:space="preserve">  6、捐赠收入</t>
  </si>
  <si>
    <t xml:space="preserve">    税收事务</t>
  </si>
  <si>
    <t xml:space="preserve">  7、其他收入</t>
  </si>
  <si>
    <t xml:space="preserve">    审计事务 </t>
  </si>
  <si>
    <t xml:space="preserve">    海关事务</t>
  </si>
  <si>
    <t xml:space="preserve">    人力资源事务 </t>
  </si>
  <si>
    <t xml:space="preserve">    纪检监察事务 </t>
  </si>
  <si>
    <t xml:space="preserve">    商贸事务 </t>
  </si>
  <si>
    <r>
      <t xml:space="preserve">  1、</t>
    </r>
    <r>
      <rPr>
        <sz val="11"/>
        <rFont val="宋体"/>
        <family val="0"/>
      </rPr>
      <t>均衡性转移支付收入</t>
    </r>
  </si>
  <si>
    <t xml:space="preserve">    工商行政管理事务</t>
  </si>
  <si>
    <r>
      <t xml:space="preserve">  2、</t>
    </r>
    <r>
      <rPr>
        <sz val="11"/>
        <rFont val="宋体"/>
        <family val="0"/>
      </rPr>
      <t>定向财力转移支付收入</t>
    </r>
  </si>
  <si>
    <t xml:space="preserve">    质量技术监督与检验检疫事务</t>
  </si>
  <si>
    <r>
      <t xml:space="preserve">  3、</t>
    </r>
    <r>
      <rPr>
        <sz val="11"/>
        <rFont val="宋体"/>
        <family val="0"/>
      </rPr>
      <t>其他一般性转移支付收入</t>
    </r>
  </si>
  <si>
    <t xml:space="preserve">    港澳台侨事务 </t>
  </si>
  <si>
    <t xml:space="preserve">    档案事务</t>
  </si>
  <si>
    <t xml:space="preserve">    群众团体事务 </t>
  </si>
  <si>
    <t>三、一般债券转贷收入</t>
  </si>
  <si>
    <t xml:space="preserve">    党委办公室及相关机构</t>
  </si>
  <si>
    <t xml:space="preserve">    组织事务</t>
  </si>
  <si>
    <t>四、调入资金</t>
  </si>
  <si>
    <t xml:space="preserve">    宣传事务</t>
  </si>
  <si>
    <t xml:space="preserve">    统战事务</t>
  </si>
  <si>
    <t>五、上年结余</t>
  </si>
  <si>
    <t xml:space="preserve">    对外联络事务</t>
  </si>
  <si>
    <t xml:space="preserve">    其他共产党事务</t>
  </si>
  <si>
    <t xml:space="preserve">    其他一般公共服务支出 </t>
  </si>
  <si>
    <t xml:space="preserve">    武装警察 </t>
  </si>
  <si>
    <t xml:space="preserve">    公安 </t>
  </si>
  <si>
    <t xml:space="preserve">    国家安全</t>
  </si>
  <si>
    <t xml:space="preserve">    司法 </t>
  </si>
  <si>
    <t xml:space="preserve">    强制隔离戒毒</t>
  </si>
  <si>
    <t xml:space="preserve">    缉私警察</t>
  </si>
  <si>
    <t xml:space="preserve">    其他公共安全支出 </t>
  </si>
  <si>
    <t xml:space="preserve">    教育管理事务 </t>
  </si>
  <si>
    <t xml:space="preserve">    普通教育 </t>
  </si>
  <si>
    <t xml:space="preserve">    职业教育</t>
  </si>
  <si>
    <t xml:space="preserve">    成人教育</t>
  </si>
  <si>
    <t xml:space="preserve">    特殊教育</t>
  </si>
  <si>
    <t xml:space="preserve">    进修及培训</t>
  </si>
  <si>
    <t xml:space="preserve">    教育附加安排的支出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</si>
  <si>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其他教育支出 </t>
    </r>
  </si>
  <si>
    <t xml:space="preserve">（四）科学技术支出 </t>
  </si>
  <si>
    <t xml:space="preserve">    科学技术管理事务</t>
  </si>
  <si>
    <t xml:space="preserve">    技术研究与开发 </t>
  </si>
  <si>
    <t xml:space="preserve">    科学条件与服务</t>
  </si>
  <si>
    <t xml:space="preserve">    科技交流与合作</t>
  </si>
  <si>
    <t xml:space="preserve">    其他科学技术支出</t>
  </si>
  <si>
    <t xml:space="preserve">（五）文化体育与传媒支出 </t>
  </si>
  <si>
    <t xml:space="preserve">    文化 </t>
  </si>
  <si>
    <t xml:space="preserve">    文物</t>
  </si>
  <si>
    <t xml:space="preserve">    体育 </t>
  </si>
  <si>
    <t xml:space="preserve">    新闻出版广播影视 </t>
  </si>
  <si>
    <t xml:space="preserve">    其他文化体育与传媒支出 </t>
  </si>
  <si>
    <t xml:space="preserve">（六）社会保障和就业支出  </t>
  </si>
  <si>
    <t xml:space="preserve">    人力资源和社会保障管理事务 </t>
  </si>
  <si>
    <t xml:space="preserve">    民政管理事务 </t>
  </si>
  <si>
    <t xml:space="preserve">    财政对社会保险基金补助 </t>
  </si>
  <si>
    <t xml:space="preserve">    行政事业单位离退休</t>
  </si>
  <si>
    <t xml:space="preserve">    就业补助</t>
  </si>
  <si>
    <t xml:space="preserve">    抚恤</t>
  </si>
  <si>
    <t xml:space="preserve">    退役安置</t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</si>
  <si>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社会福利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</si>
  <si>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残疾人事业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</si>
  <si>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红十字事业 </t>
    </r>
  </si>
  <si>
    <t xml:space="preserve">    自然灾害救助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</si>
  <si>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最低生活保障 </t>
    </r>
  </si>
  <si>
    <t xml:space="preserve">    临时救助</t>
  </si>
  <si>
    <t xml:space="preserve">    特困人员供养</t>
  </si>
  <si>
    <t xml:space="preserve">    其他生活救助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</si>
  <si>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其他社会保障和就业支出 </t>
    </r>
  </si>
  <si>
    <t xml:space="preserve">（七）医疗卫生与计划生育支出 </t>
  </si>
  <si>
    <r>
      <t> </t>
    </r>
    <r>
      <rPr>
        <sz val="11"/>
        <rFont val="仿宋_GB2312"/>
        <family val="3"/>
      </rPr>
      <t xml:space="preserve">    医疗卫生管理事务</t>
    </r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</si>
  <si>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</si>
  <si>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</si>
  <si>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</si>
  <si>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</si>
  <si>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</si>
  <si>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人口与计划生育</t>
  </si>
  <si>
    <t xml:space="preserve">    食品和药品监督管理事务</t>
  </si>
  <si>
    <t xml:space="preserve">    医疗救助</t>
  </si>
  <si>
    <t xml:space="preserve">    财政对基本医疗保险基金的补助</t>
  </si>
  <si>
    <t xml:space="preserve">    其他医疗卫生支出</t>
  </si>
  <si>
    <t xml:space="preserve">（八）节能环保支出 </t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</si>
  <si>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环境保护管理事务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</si>
  <si>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环境监测与监察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</si>
  <si>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污染防治 </t>
    </r>
  </si>
  <si>
    <t xml:space="preserve">    自然生态保护</t>
  </si>
  <si>
    <t xml:space="preserve">    能源节约利用</t>
  </si>
  <si>
    <t xml:space="preserve">    污染减排</t>
  </si>
  <si>
    <t xml:space="preserve">    能源管理事务</t>
  </si>
  <si>
    <r>
      <t>    </t>
    </r>
    <r>
      <rPr>
        <sz val="11"/>
        <rFont val="仿宋_GB2312"/>
        <family val="3"/>
      </rPr>
      <t xml:space="preserve">  其他节能环保支出 </t>
    </r>
  </si>
  <si>
    <t xml:space="preserve">（九）城乡社区支出  </t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</si>
  <si>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城乡社区管理事务 </t>
    </r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</si>
  <si>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城乡社区规划与管理 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</si>
  <si>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城乡社区公共设施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</si>
  <si>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城乡社区环境卫生 </t>
    </r>
  </si>
  <si>
    <t xml:space="preserve">    建设市场管理与监督</t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</si>
  <si>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其他城乡社区事务支出 </t>
    </r>
  </si>
  <si>
    <t xml:space="preserve">（十）农林水支出  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</si>
  <si>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农业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</si>
  <si>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林业 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</si>
  <si>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水利 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</si>
  <si>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扶贫 </t>
    </r>
  </si>
  <si>
    <t xml:space="preserve">    农村综合改革</t>
  </si>
  <si>
    <t xml:space="preserve">    农业综合开发</t>
  </si>
  <si>
    <t xml:space="preserve">    其他农林水支出</t>
  </si>
  <si>
    <t xml:space="preserve">（十一）交通运输支出  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</si>
  <si>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公路水路运输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</si>
  <si>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>石油价格改革对交通运输的补贴</t>
    </r>
  </si>
  <si>
    <t xml:space="preserve">    其他交通运输支出</t>
  </si>
  <si>
    <t xml:space="preserve">（十二）资源勘探信息等支出  </t>
  </si>
  <si>
    <t xml:space="preserve">    制造业</t>
  </si>
  <si>
    <t xml:space="preserve">    电力监管支出</t>
  </si>
  <si>
    <t xml:space="preserve">    支持中小企业发展和管理支出</t>
  </si>
  <si>
    <t xml:space="preserve">    工业和信息产业监管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</si>
  <si>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安全生产监督 </t>
    </r>
  </si>
  <si>
    <t xml:space="preserve">（十三）商业服务业等支出 </t>
  </si>
  <si>
    <t xml:space="preserve">    商业流通事务</t>
  </si>
  <si>
    <t xml:space="preserve">    旅游业管理与服务支出</t>
  </si>
  <si>
    <t xml:space="preserve">    涉外发展服务支出 </t>
  </si>
  <si>
    <t xml:space="preserve">    其他商业服务业等事务支出</t>
  </si>
  <si>
    <t xml:space="preserve">（十四）国土资源气象等支出 </t>
  </si>
  <si>
    <t xml:space="preserve">    国土资源事务</t>
  </si>
  <si>
    <t xml:space="preserve">    地震事务</t>
  </si>
  <si>
    <t xml:space="preserve">（十五）预备费 </t>
  </si>
  <si>
    <t xml:space="preserve">    金融部门行政支出</t>
  </si>
  <si>
    <t xml:space="preserve">    金融发展支出</t>
  </si>
  <si>
    <t xml:space="preserve">    其他金融监管等事务支出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</si>
  <si>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</si>
  <si>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</si>
  <si>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</si>
  <si>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粮油事务</t>
  </si>
  <si>
    <t xml:space="preserve">    粮油储备</t>
  </si>
  <si>
    <t xml:space="preserve">    一般债务付息支出</t>
  </si>
  <si>
    <t>附注：</t>
  </si>
  <si>
    <t>财政专户管理收入</t>
  </si>
  <si>
    <t>财政专户管理支出</t>
  </si>
  <si>
    <t>收入总计</t>
  </si>
  <si>
    <t>支出总计</t>
  </si>
  <si>
    <t>附件3：</t>
  </si>
  <si>
    <t>神湾镇2018年政府性基金预算收支明细表(草案)</t>
  </si>
  <si>
    <t>编制单位：中山市财政局神湾分局</t>
  </si>
  <si>
    <t>一、政府性基金预算收入</t>
  </si>
  <si>
    <t>一、政府性基金预算支出</t>
  </si>
  <si>
    <t xml:space="preserve">（一）社会保障和就业支出 </t>
  </si>
  <si>
    <t xml:space="preserve">    国有土地使用权出让收入</t>
  </si>
  <si>
    <t xml:space="preserve">    大中型水库移民后期扶持基金支出</t>
  </si>
  <si>
    <t xml:space="preserve">    污水处理费收入</t>
  </si>
  <si>
    <t xml:space="preserve">（二）城乡社区支出 </t>
  </si>
  <si>
    <t xml:space="preserve">    国有土地使用权出让金支出</t>
  </si>
  <si>
    <t xml:space="preserve">    农业土地开发资金收入</t>
  </si>
  <si>
    <t xml:space="preserve">    城市公用事业附加支出</t>
  </si>
  <si>
    <t xml:space="preserve">    大中型水库移民后期扶持基金收入</t>
  </si>
  <si>
    <t xml:space="preserve">    农业土地开发资金支出</t>
  </si>
  <si>
    <t xml:space="preserve">    彩票公益金收入</t>
  </si>
  <si>
    <t xml:space="preserve">    新增建设用地有偿使用费支出</t>
  </si>
  <si>
    <t xml:space="preserve">       其中：定向财力转移支付收入</t>
  </si>
  <si>
    <t xml:space="preserve">    污水处理费安排的支出</t>
  </si>
  <si>
    <t>二、专项债券转贷收入</t>
  </si>
  <si>
    <t xml:space="preserve">    彩票公益金安排的支出</t>
  </si>
  <si>
    <t>三、上年结余</t>
  </si>
  <si>
    <t xml:space="preserve">    专项债务付息支出</t>
  </si>
  <si>
    <t xml:space="preserve">    专项债务发行费用支出</t>
  </si>
  <si>
    <t>二、调出资金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</si>
</sst>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_ "/>
    <numFmt numFmtId="178" formatCode="_ * #,##0_ ;_ * \-#,##0_ ;_ * &quot;-&quot;??_ ;_ @_ "/>
    <numFmt numFmtId="179" formatCode="0.00_ ;[Red]\-0.00\ "/>
    <numFmt numFmtId="180" formatCode="#,##0_ "/>
    <numFmt numFmtId="181" formatCode="#,##0_);[Red]\(#,##0\)"/>
    <numFmt numFmtId="182" formatCode="0_);[Red]\(0\)"/>
  </numFmts>
  <fonts count="66">
    <font>
      <sz val="12"/>
      <name val="宋体"/>
      <family val="0"/>
    </font>
    <font>
      <sz val="14"/>
      <name val="Times New Roman"/>
      <family val="1"/>
    </font>
    <font>
      <sz val="12"/>
      <name val="黑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创艺简标宋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b/>
      <sz val="11"/>
      <name val="仿宋_GB2312"/>
      <family val="3"/>
    </font>
    <font>
      <sz val="11"/>
      <name val="Arial"/>
      <family val="2"/>
    </font>
    <font>
      <sz val="10"/>
      <name val="Times New Roman"/>
      <family val="1"/>
    </font>
    <font>
      <sz val="12"/>
      <name val="创艺简标宋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仿宋_GB2312"/>
      <family val="3"/>
    </font>
    <font>
      <sz val="28"/>
      <name val="创艺简标宋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5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8.4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3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0" borderId="0">
      <alignment vertical="center"/>
      <protection/>
    </xf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7">
    <xf numFmtId="0" fontId="0" fillId="0" borderId="0" xfId="0" applyAlignment="1">
      <alignment/>
    </xf>
    <xf numFmtId="0" fontId="1" fillId="0" borderId="0" xfId="64" applyFont="1">
      <alignment vertical="center"/>
      <protection/>
    </xf>
    <xf numFmtId="0" fontId="2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>
      <alignment vertical="center"/>
      <protection/>
    </xf>
    <xf numFmtId="10" fontId="5" fillId="0" borderId="0" xfId="64" applyNumberFormat="1" applyFont="1" applyAlignment="1">
      <alignment horizontal="center" vertical="center"/>
      <protection/>
    </xf>
    <xf numFmtId="0" fontId="0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8" fillId="0" borderId="9" xfId="64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left" vertical="center" wrapText="1"/>
      <protection/>
    </xf>
    <xf numFmtId="43" fontId="3" fillId="0" borderId="9" xfId="64" applyNumberFormat="1" applyFont="1" applyBorder="1" applyAlignment="1">
      <alignment horizontal="right" vertical="center"/>
      <protection/>
    </xf>
    <xf numFmtId="10" fontId="3" fillId="0" borderId="9" xfId="25" applyNumberFormat="1" applyFont="1" applyBorder="1" applyAlignment="1">
      <alignment vertical="center"/>
    </xf>
    <xf numFmtId="0" fontId="10" fillId="0" borderId="9" xfId="64" applyFont="1" applyBorder="1" applyAlignment="1">
      <alignment horizontal="left" vertical="center"/>
      <protection/>
    </xf>
    <xf numFmtId="43" fontId="3" fillId="0" borderId="9" xfId="22" applyFont="1" applyBorder="1" applyAlignment="1">
      <alignment vertical="center"/>
    </xf>
    <xf numFmtId="4" fontId="10" fillId="0" borderId="9" xfId="64" applyNumberFormat="1" applyFont="1" applyBorder="1" applyAlignment="1">
      <alignment vertical="center"/>
      <protection/>
    </xf>
    <xf numFmtId="176" fontId="3" fillId="0" borderId="9" xfId="64" applyNumberFormat="1" applyFont="1" applyBorder="1" applyAlignment="1">
      <alignment horizontal="right" vertical="center"/>
      <protection/>
    </xf>
    <xf numFmtId="0" fontId="8" fillId="0" borderId="9" xfId="64" applyFont="1" applyBorder="1" applyAlignment="1">
      <alignment horizontal="left" vertical="center"/>
      <protection/>
    </xf>
    <xf numFmtId="43" fontId="4" fillId="0" borderId="9" xfId="22" applyFont="1" applyBorder="1" applyAlignment="1">
      <alignment vertical="center"/>
    </xf>
    <xf numFmtId="10" fontId="4" fillId="0" borderId="9" xfId="25" applyNumberFormat="1" applyFont="1" applyBorder="1" applyAlignment="1">
      <alignment vertical="center"/>
    </xf>
    <xf numFmtId="4" fontId="8" fillId="0" borderId="9" xfId="64" applyNumberFormat="1" applyFont="1" applyBorder="1" applyAlignment="1">
      <alignment vertical="center"/>
      <protection/>
    </xf>
    <xf numFmtId="43" fontId="4" fillId="0" borderId="9" xfId="64" applyNumberFormat="1" applyFont="1" applyBorder="1" applyAlignment="1">
      <alignment horizontal="right" vertical="center"/>
      <protection/>
    </xf>
    <xf numFmtId="176" fontId="4" fillId="0" borderId="9" xfId="64" applyNumberFormat="1" applyFont="1" applyBorder="1" applyAlignment="1">
      <alignment horizontal="right" vertical="center"/>
      <protection/>
    </xf>
    <xf numFmtId="0" fontId="8" fillId="0" borderId="9" xfId="64" applyFont="1" applyBorder="1" applyAlignment="1">
      <alignment horizontal="left" vertical="center"/>
      <protection/>
    </xf>
    <xf numFmtId="0" fontId="4" fillId="0" borderId="9" xfId="64" applyFont="1" applyBorder="1">
      <alignment vertical="center"/>
      <protection/>
    </xf>
    <xf numFmtId="10" fontId="4" fillId="0" borderId="9" xfId="64" applyNumberFormat="1" applyFont="1" applyBorder="1">
      <alignment vertical="center"/>
      <protection/>
    </xf>
    <xf numFmtId="4" fontId="10" fillId="0" borderId="9" xfId="64" applyNumberFormat="1" applyFont="1" applyBorder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left" vertical="center"/>
      <protection/>
    </xf>
    <xf numFmtId="10" fontId="1" fillId="0" borderId="0" xfId="64" applyNumberFormat="1" applyFont="1" applyAlignment="1">
      <alignment horizontal="center" vertical="center"/>
      <protection/>
    </xf>
    <xf numFmtId="10" fontId="3" fillId="0" borderId="9" xfId="64" applyNumberFormat="1" applyFont="1" applyBorder="1" applyAlignment="1">
      <alignment horizontal="right" vertical="center"/>
      <protection/>
    </xf>
    <xf numFmtId="10" fontId="4" fillId="0" borderId="9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4" fontId="0" fillId="0" borderId="9" xfId="64" applyNumberFormat="1" applyFont="1" applyFill="1" applyBorder="1" applyAlignment="1" applyProtection="1">
      <alignment vertical="center"/>
      <protection/>
    </xf>
    <xf numFmtId="4" fontId="0" fillId="0" borderId="0" xfId="64" applyNumberFormat="1" applyFont="1" applyFill="1" applyBorder="1" applyAlignment="1" applyProtection="1">
      <alignment vertical="center"/>
      <protection/>
    </xf>
    <xf numFmtId="4" fontId="0" fillId="0" borderId="0" xfId="64" applyNumberFormat="1" applyFont="1" applyFill="1" applyBorder="1" applyAlignment="1" applyProtection="1">
      <alignment vertical="center"/>
      <protection/>
    </xf>
    <xf numFmtId="4" fontId="0" fillId="0" borderId="0" xfId="64" applyNumberFormat="1" applyFont="1" applyFill="1" applyAlignment="1" applyProtection="1">
      <alignment vertical="center"/>
      <protection/>
    </xf>
    <xf numFmtId="0" fontId="1" fillId="0" borderId="0" xfId="64" applyFont="1" applyFill="1">
      <alignment vertical="center"/>
      <protection/>
    </xf>
    <xf numFmtId="0" fontId="9" fillId="0" borderId="0" xfId="64" applyFont="1" applyFill="1" applyAlignment="1">
      <alignment vertical="center" wrapText="1"/>
      <protection/>
    </xf>
    <xf numFmtId="0" fontId="3" fillId="0" borderId="0" xfId="64" applyFont="1" applyFill="1">
      <alignment vertical="center"/>
      <protection/>
    </xf>
    <xf numFmtId="0" fontId="4" fillId="0" borderId="0" xfId="64" applyFont="1" applyFill="1">
      <alignment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64" applyFont="1" applyFill="1">
      <alignment vertical="center"/>
      <protection/>
    </xf>
    <xf numFmtId="10" fontId="5" fillId="0" borderId="0" xfId="64" applyNumberFormat="1" applyFont="1" applyFill="1">
      <alignment vertical="center"/>
      <protection/>
    </xf>
    <xf numFmtId="0" fontId="7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left" vertical="center"/>
      <protection/>
    </xf>
    <xf numFmtId="43" fontId="3" fillId="0" borderId="9" xfId="64" applyNumberFormat="1" applyFont="1" applyFill="1" applyBorder="1">
      <alignment vertical="center"/>
      <protection/>
    </xf>
    <xf numFmtId="10" fontId="3" fillId="0" borderId="9" xfId="25" applyNumberFormat="1" applyFont="1" applyFill="1" applyBorder="1" applyAlignment="1">
      <alignment vertical="center"/>
    </xf>
    <xf numFmtId="0" fontId="8" fillId="0" borderId="9" xfId="64" applyFont="1" applyFill="1" applyBorder="1" applyAlignment="1">
      <alignment horizontal="left" vertical="center"/>
      <protection/>
    </xf>
    <xf numFmtId="43" fontId="4" fillId="0" borderId="9" xfId="64" applyNumberFormat="1" applyFont="1" applyFill="1" applyBorder="1">
      <alignment vertical="center"/>
      <protection/>
    </xf>
    <xf numFmtId="10" fontId="4" fillId="0" borderId="9" xfId="25" applyNumberFormat="1" applyFont="1" applyFill="1" applyBorder="1" applyAlignment="1">
      <alignment vertical="center"/>
    </xf>
    <xf numFmtId="10" fontId="10" fillId="0" borderId="9" xfId="25" applyNumberFormat="1" applyFont="1" applyFill="1" applyBorder="1" applyAlignment="1">
      <alignment horizontal="right" vertical="center"/>
    </xf>
    <xf numFmtId="0" fontId="4" fillId="0" borderId="9" xfId="64" applyFont="1" applyFill="1" applyBorder="1">
      <alignment vertical="center"/>
      <protection/>
    </xf>
    <xf numFmtId="0" fontId="3" fillId="0" borderId="9" xfId="64" applyFont="1" applyFill="1" applyBorder="1">
      <alignment vertical="center"/>
      <protection/>
    </xf>
    <xf numFmtId="0" fontId="11" fillId="0" borderId="9" xfId="64" applyFont="1" applyFill="1" applyBorder="1" applyAlignment="1">
      <alignment horizontal="left" vertical="center"/>
      <protection/>
    </xf>
    <xf numFmtId="10" fontId="1" fillId="0" borderId="0" xfId="64" applyNumberFormat="1" applyFont="1" applyFill="1">
      <alignment vertical="center"/>
      <protection/>
    </xf>
    <xf numFmtId="0" fontId="7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vertical="center" wrapText="1"/>
      <protection/>
    </xf>
    <xf numFmtId="4" fontId="10" fillId="0" borderId="9" xfId="64" applyNumberFormat="1" applyFont="1" applyFill="1" applyBorder="1" applyAlignment="1">
      <alignment horizontal="center" vertical="center"/>
      <protection/>
    </xf>
    <xf numFmtId="43" fontId="3" fillId="0" borderId="9" xfId="22" applyFont="1" applyFill="1" applyBorder="1" applyAlignment="1">
      <alignment vertical="center"/>
    </xf>
    <xf numFmtId="10" fontId="3" fillId="0" borderId="9" xfId="25" applyNumberFormat="1" applyFont="1" applyFill="1" applyBorder="1" applyAlignment="1">
      <alignment vertical="center"/>
    </xf>
    <xf numFmtId="10" fontId="10" fillId="0" borderId="9" xfId="25" applyNumberFormat="1" applyFont="1" applyFill="1" applyBorder="1" applyAlignment="1">
      <alignment horizontal="left" vertical="center"/>
    </xf>
    <xf numFmtId="0" fontId="5" fillId="0" borderId="9" xfId="64" applyFont="1" applyFill="1" applyBorder="1">
      <alignment vertical="center"/>
      <protection/>
    </xf>
    <xf numFmtId="43" fontId="4" fillId="0" borderId="9" xfId="22" applyFont="1" applyFill="1" applyBorder="1" applyAlignment="1">
      <alignment vertical="center"/>
    </xf>
    <xf numFmtId="10" fontId="4" fillId="0" borderId="9" xfId="25" applyNumberFormat="1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10" fontId="3" fillId="0" borderId="9" xfId="25" applyNumberFormat="1" applyFont="1" applyFill="1" applyBorder="1" applyAlignment="1">
      <alignment vertical="center"/>
    </xf>
    <xf numFmtId="9" fontId="0" fillId="0" borderId="9" xfId="25" applyFill="1" applyBorder="1" applyAlignment="1">
      <alignment/>
    </xf>
    <xf numFmtId="0" fontId="1" fillId="0" borderId="9" xfId="64" applyFont="1" applyFill="1" applyBorder="1">
      <alignment vertical="center"/>
      <protection/>
    </xf>
    <xf numFmtId="177" fontId="12" fillId="0" borderId="0" xfId="64" applyNumberFormat="1" applyFont="1" applyFill="1">
      <alignment vertical="center"/>
      <protection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22" applyNumberFormat="1" applyFont="1" applyFill="1" applyAlignment="1">
      <alignment/>
    </xf>
    <xf numFmtId="43" fontId="5" fillId="0" borderId="0" xfId="22" applyFont="1" applyFill="1" applyAlignment="1">
      <alignment/>
    </xf>
    <xf numFmtId="9" fontId="5" fillId="0" borderId="0" xfId="0" applyNumberFormat="1" applyFont="1" applyFill="1" applyAlignment="1">
      <alignment/>
    </xf>
    <xf numFmtId="10" fontId="5" fillId="0" borderId="0" xfId="2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43" fontId="5" fillId="0" borderId="0" xfId="22" applyFont="1" applyFill="1" applyAlignment="1">
      <alignment horizontal="right" vertical="center"/>
    </xf>
    <xf numFmtId="9" fontId="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/>
    </xf>
    <xf numFmtId="178" fontId="14" fillId="0" borderId="0" xfId="22" applyNumberFormat="1" applyFont="1" applyFill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78" fontId="14" fillId="0" borderId="9" xfId="22" applyNumberFormat="1" applyFont="1" applyFill="1" applyBorder="1" applyAlignment="1">
      <alignment horizontal="center" vertical="center" wrapText="1"/>
    </xf>
    <xf numFmtId="179" fontId="18" fillId="0" borderId="9" xfId="65" applyNumberFormat="1" applyFont="1" applyFill="1" applyBorder="1" applyAlignment="1">
      <alignment horizontal="left" vertical="center"/>
      <protection/>
    </xf>
    <xf numFmtId="180" fontId="15" fillId="0" borderId="9" xfId="0" applyNumberFormat="1" applyFont="1" applyFill="1" applyBorder="1" applyAlignment="1">
      <alignment horizontal="center" vertical="center"/>
    </xf>
    <xf numFmtId="43" fontId="15" fillId="0" borderId="9" xfId="22" applyFont="1" applyFill="1" applyBorder="1" applyAlignment="1">
      <alignment horizontal="right" vertical="center"/>
    </xf>
    <xf numFmtId="179" fontId="19" fillId="0" borderId="9" xfId="65" applyNumberFormat="1" applyFont="1" applyFill="1" applyBorder="1" applyAlignment="1">
      <alignment horizontal="left" vertical="center" wrapText="1"/>
      <protection/>
    </xf>
    <xf numFmtId="180" fontId="14" fillId="0" borderId="9" xfId="0" applyNumberFormat="1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43" fontId="14" fillId="0" borderId="9" xfId="22" applyFont="1" applyFill="1" applyBorder="1" applyAlignment="1">
      <alignment horizontal="right" vertical="center"/>
    </xf>
    <xf numFmtId="0" fontId="16" fillId="0" borderId="9" xfId="61" applyFont="1" applyFill="1" applyBorder="1" applyAlignment="1">
      <alignment horizontal="left" vertical="center" wrapText="1"/>
      <protection/>
    </xf>
    <xf numFmtId="43" fontId="15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43" fontId="14" fillId="0" borderId="9" xfId="22" applyFont="1" applyFill="1" applyBorder="1" applyAlignment="1">
      <alignment horizontal="right"/>
    </xf>
    <xf numFmtId="1" fontId="20" fillId="0" borderId="9" xfId="61" applyNumberFormat="1" applyFont="1" applyFill="1" applyBorder="1" applyAlignment="1" applyProtection="1">
      <alignment horizontal="left" vertical="center" wrapText="1"/>
      <protection locked="0"/>
    </xf>
    <xf numFmtId="1" fontId="16" fillId="0" borderId="9" xfId="61" applyNumberFormat="1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>
      <alignment/>
    </xf>
    <xf numFmtId="179" fontId="18" fillId="0" borderId="9" xfId="65" applyNumberFormat="1" applyFont="1" applyFill="1" applyBorder="1" applyAlignment="1">
      <alignment horizontal="left" vertical="center" wrapText="1"/>
      <protection/>
    </xf>
    <xf numFmtId="181" fontId="15" fillId="0" borderId="9" xfId="61" applyNumberFormat="1" applyFont="1" applyFill="1" applyBorder="1" applyAlignment="1">
      <alignment horizontal="center" vertical="center"/>
      <protection/>
    </xf>
    <xf numFmtId="0" fontId="20" fillId="0" borderId="9" xfId="61" applyFont="1" applyFill="1" applyBorder="1" applyAlignment="1">
      <alignment horizontal="left" vertical="center" wrapText="1"/>
      <protection/>
    </xf>
    <xf numFmtId="181" fontId="15" fillId="0" borderId="9" xfId="0" applyNumberFormat="1" applyFont="1" applyFill="1" applyBorder="1" applyAlignment="1">
      <alignment horizontal="center" vertical="center"/>
    </xf>
    <xf numFmtId="1" fontId="20" fillId="0" borderId="9" xfId="61" applyNumberFormat="1" applyFont="1" applyFill="1" applyBorder="1" applyAlignment="1" applyProtection="1">
      <alignment horizontal="center" vertical="center"/>
      <protection locked="0"/>
    </xf>
    <xf numFmtId="1" fontId="16" fillId="0" borderId="9" xfId="61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/>
    </xf>
    <xf numFmtId="43" fontId="15" fillId="0" borderId="9" xfId="22" applyFont="1" applyFill="1" applyBorder="1" applyAlignment="1">
      <alignment horizontal="right"/>
    </xf>
    <xf numFmtId="1" fontId="20" fillId="0" borderId="10" xfId="61" applyNumberFormat="1" applyFont="1" applyFill="1" applyBorder="1" applyAlignment="1" applyProtection="1">
      <alignment horizontal="center" vertical="center"/>
      <protection locked="0"/>
    </xf>
    <xf numFmtId="180" fontId="15" fillId="0" borderId="10" xfId="0" applyNumberFormat="1" applyFont="1" applyFill="1" applyBorder="1" applyAlignment="1">
      <alignment horizontal="center" vertical="center"/>
    </xf>
    <xf numFmtId="43" fontId="15" fillId="0" borderId="10" xfId="22" applyFont="1" applyFill="1" applyBorder="1" applyAlignment="1">
      <alignment horizontal="right" vertical="center"/>
    </xf>
    <xf numFmtId="1" fontId="20" fillId="0" borderId="0" xfId="61" applyNumberFormat="1" applyFont="1" applyFill="1" applyAlignment="1" applyProtection="1">
      <alignment horizontal="center" vertical="center"/>
      <protection locked="0"/>
    </xf>
    <xf numFmtId="180" fontId="15" fillId="0" borderId="0" xfId="0" applyNumberFormat="1" applyFont="1" applyFill="1" applyAlignment="1">
      <alignment horizontal="center" vertical="center"/>
    </xf>
    <xf numFmtId="43" fontId="15" fillId="0" borderId="0" xfId="22" applyFont="1" applyFill="1" applyAlignment="1">
      <alignment horizontal="right" vertical="center"/>
    </xf>
    <xf numFmtId="0" fontId="21" fillId="0" borderId="0" xfId="0" applyFont="1" applyFill="1" applyAlignment="1">
      <alignment/>
    </xf>
    <xf numFmtId="178" fontId="1" fillId="0" borderId="0" xfId="22" applyNumberFormat="1" applyFont="1" applyFill="1" applyAlignment="1">
      <alignment/>
    </xf>
    <xf numFmtId="43" fontId="14" fillId="0" borderId="0" xfId="22" applyFont="1" applyFill="1" applyAlignment="1">
      <alignment/>
    </xf>
    <xf numFmtId="9" fontId="5" fillId="0" borderId="9" xfId="0" applyNumberFormat="1" applyFont="1" applyFill="1" applyBorder="1" applyAlignment="1">
      <alignment horizontal="center" vertical="center" wrapText="1"/>
    </xf>
    <xf numFmtId="43" fontId="14" fillId="0" borderId="9" xfId="22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right" vertical="center"/>
    </xf>
    <xf numFmtId="10" fontId="14" fillId="0" borderId="9" xfId="0" applyNumberFormat="1" applyFont="1" applyFill="1" applyBorder="1" applyAlignment="1">
      <alignment horizontal="right" vertical="center"/>
    </xf>
    <xf numFmtId="10" fontId="15" fillId="0" borderId="0" xfId="0" applyNumberFormat="1" applyFont="1" applyFill="1" applyAlignment="1">
      <alignment horizontal="right" vertical="center"/>
    </xf>
    <xf numFmtId="43" fontId="23" fillId="0" borderId="0" xfId="22" applyNumberFormat="1" applyFont="1" applyFill="1" applyAlignment="1">
      <alignment/>
    </xf>
    <xf numFmtId="43" fontId="1" fillId="0" borderId="0" xfId="22" applyFont="1" applyFill="1" applyAlignment="1">
      <alignment/>
    </xf>
    <xf numFmtId="43" fontId="24" fillId="0" borderId="0" xfId="22" applyNumberFormat="1" applyFont="1" applyFill="1" applyAlignment="1">
      <alignment/>
    </xf>
    <xf numFmtId="178" fontId="25" fillId="0" borderId="0" xfId="22" applyNumberFormat="1" applyFont="1" applyFill="1" applyAlignment="1">
      <alignment/>
    </xf>
    <xf numFmtId="9" fontId="14" fillId="0" borderId="0" xfId="0" applyNumberFormat="1" applyFont="1" applyFill="1" applyAlignment="1">
      <alignment/>
    </xf>
    <xf numFmtId="49" fontId="14" fillId="0" borderId="11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center" vertical="center" wrapText="1"/>
    </xf>
    <xf numFmtId="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/>
    </xf>
    <xf numFmtId="0" fontId="14" fillId="0" borderId="9" xfId="0" applyNumberFormat="1" applyFont="1" applyFill="1" applyBorder="1" applyAlignment="1">
      <alignment/>
    </xf>
    <xf numFmtId="43" fontId="15" fillId="0" borderId="0" xfId="22" applyFont="1" applyFill="1" applyBorder="1" applyAlignment="1">
      <alignment horizontal="right" vertical="center"/>
    </xf>
    <xf numFmtId="9" fontId="15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9" fontId="15" fillId="0" borderId="10" xfId="0" applyNumberFormat="1" applyFont="1" applyFill="1" applyBorder="1" applyAlignment="1">
      <alignment horizontal="center" vertical="center"/>
    </xf>
    <xf numFmtId="10" fontId="15" fillId="0" borderId="9" xfId="25" applyNumberFormat="1" applyFont="1" applyFill="1" applyBorder="1" applyAlignment="1">
      <alignment horizontal="center" vertical="center"/>
    </xf>
    <xf numFmtId="10" fontId="15" fillId="0" borderId="9" xfId="0" applyNumberFormat="1" applyFont="1" applyFill="1" applyBorder="1" applyAlignment="1">
      <alignment horizontal="center" vertical="center"/>
    </xf>
    <xf numFmtId="10" fontId="14" fillId="0" borderId="9" xfId="25" applyNumberFormat="1" applyFont="1" applyFill="1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/>
    </xf>
    <xf numFmtId="43" fontId="15" fillId="0" borderId="0" xfId="22" applyFont="1" applyFill="1" applyBorder="1" applyAlignment="1">
      <alignment horizontal="right" vertical="center"/>
    </xf>
    <xf numFmtId="10" fontId="15" fillId="0" borderId="0" xfId="25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43" fontId="26" fillId="0" borderId="0" xfId="22" applyFont="1" applyFill="1" applyBorder="1" applyAlignment="1">
      <alignment horizontal="right" vertical="center"/>
    </xf>
    <xf numFmtId="10" fontId="15" fillId="0" borderId="0" xfId="25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/>
    </xf>
    <xf numFmtId="10" fontId="1" fillId="0" borderId="0" xfId="25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horizontal="center" vertical="center"/>
    </xf>
    <xf numFmtId="1" fontId="16" fillId="0" borderId="10" xfId="61" applyNumberFormat="1" applyFont="1" applyFill="1" applyBorder="1" applyAlignment="1" applyProtection="1">
      <alignment vertical="center"/>
      <protection locked="0"/>
    </xf>
    <xf numFmtId="1" fontId="16" fillId="0" borderId="9" xfId="61" applyNumberFormat="1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43" fontId="15" fillId="0" borderId="10" xfId="0" applyNumberFormat="1" applyFont="1" applyFill="1" applyBorder="1" applyAlignment="1">
      <alignment horizontal="center" vertical="center"/>
    </xf>
    <xf numFmtId="43" fontId="14" fillId="0" borderId="9" xfId="0" applyNumberFormat="1" applyFont="1" applyFill="1" applyBorder="1" applyAlignment="1">
      <alignment horizontal="center" vertical="center"/>
    </xf>
    <xf numFmtId="182" fontId="14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14" fillId="0" borderId="0" xfId="0" applyNumberFormat="1" applyFont="1" applyFill="1" applyAlignment="1">
      <alignment horizontal="right" vertical="center"/>
    </xf>
    <xf numFmtId="43" fontId="14" fillId="0" borderId="0" xfId="22" applyFont="1" applyFill="1" applyAlignment="1">
      <alignment horizontal="right" vertical="center"/>
    </xf>
    <xf numFmtId="9" fontId="16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center" vertical="center"/>
    </xf>
    <xf numFmtId="43" fontId="1" fillId="0" borderId="0" xfId="22" applyFont="1" applyFill="1" applyAlignment="1">
      <alignment horizontal="center" vertical="center"/>
    </xf>
    <xf numFmtId="43" fontId="5" fillId="0" borderId="0" xfId="22" applyFont="1" applyFill="1" applyAlignment="1">
      <alignment horizontal="center" vertical="center"/>
    </xf>
    <xf numFmtId="9" fontId="14" fillId="0" borderId="0" xfId="0" applyNumberFormat="1" applyFont="1" applyFill="1" applyAlignment="1">
      <alignment horizontal="right" vertical="center"/>
    </xf>
    <xf numFmtId="10" fontId="1" fillId="0" borderId="9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10" fontId="27" fillId="0" borderId="0" xfId="0" applyNumberFormat="1" applyFont="1" applyFill="1" applyAlignment="1">
      <alignment/>
    </xf>
    <xf numFmtId="10" fontId="1" fillId="0" borderId="9" xfId="25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1" fillId="0" borderId="0" xfId="25" applyNumberFormat="1" applyFont="1" applyFill="1" applyAlignment="1">
      <alignment horizontal="center" vertical="center"/>
    </xf>
    <xf numFmtId="10" fontId="5" fillId="0" borderId="0" xfId="25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08年镇区预算收支报表" xfId="61"/>
    <cellStyle name="40% - 强调文字颜色 6" xfId="62"/>
    <cellStyle name="60% - 强调文字颜色 6" xfId="63"/>
    <cellStyle name="常规_2016预算报告附件2&amp;3" xfId="64"/>
    <cellStyle name="常规_2008年预算收支草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36"/>
  <sheetViews>
    <sheetView zoomScale="55" zoomScaleNormal="55" workbookViewId="0" topLeftCell="A4">
      <selection activeCell="AG45" sqref="AG45"/>
    </sheetView>
  </sheetViews>
  <sheetFormatPr defaultColWidth="9.00390625" defaultRowHeight="14.25"/>
  <cols>
    <col min="1" max="1" width="50.625" style="88" customWidth="1"/>
    <col min="2" max="2" width="0.875" style="89" hidden="1" customWidth="1"/>
    <col min="3" max="3" width="10.625" style="89" hidden="1" customWidth="1"/>
    <col min="4" max="5" width="16.625" style="89" hidden="1" customWidth="1"/>
    <col min="6" max="6" width="16.375" style="89" hidden="1" customWidth="1"/>
    <col min="7" max="7" width="16.625" style="89" hidden="1" customWidth="1"/>
    <col min="8" max="11" width="16.625" style="90" hidden="1" customWidth="1"/>
    <col min="12" max="12" width="16.625" style="89" hidden="1" customWidth="1"/>
    <col min="13" max="13" width="16.625" style="91" hidden="1" customWidth="1"/>
    <col min="14" max="14" width="17.625" style="91" hidden="1" customWidth="1"/>
    <col min="15" max="16" width="16.625" style="89" hidden="1" customWidth="1"/>
    <col min="17" max="19" width="16.625" style="92" hidden="1" customWidth="1"/>
    <col min="20" max="20" width="16.625" style="89" hidden="1" customWidth="1"/>
    <col min="21" max="21" width="15.50390625" style="92" hidden="1" customWidth="1"/>
    <col min="22" max="22" width="16.625" style="92" hidden="1" customWidth="1"/>
    <col min="23" max="24" width="17.625" style="92" hidden="1" customWidth="1"/>
    <col min="25" max="25" width="16.625" style="92" hidden="1" customWidth="1"/>
    <col min="26" max="28" width="16.625" style="92" customWidth="1"/>
    <col min="29" max="29" width="17.625" style="93" hidden="1" customWidth="1"/>
    <col min="30" max="30" width="17.625" style="94" hidden="1" customWidth="1"/>
    <col min="31" max="32" width="17.625" style="94" customWidth="1"/>
    <col min="33" max="33" width="50.625" style="88" customWidth="1"/>
    <col min="34" max="34" width="0.12890625" style="89" hidden="1" customWidth="1"/>
    <col min="35" max="35" width="12.125" style="89" hidden="1" customWidth="1"/>
    <col min="36" max="44" width="16.625" style="95" hidden="1" customWidth="1"/>
    <col min="45" max="45" width="16.625" style="96" hidden="1" customWidth="1"/>
    <col min="46" max="46" width="17.625" style="96" hidden="1" customWidth="1"/>
    <col min="47" max="48" width="16.625" style="95" hidden="1" customWidth="1"/>
    <col min="49" max="51" width="16.625" style="97" hidden="1" customWidth="1"/>
    <col min="52" max="52" width="16.625" style="95" hidden="1" customWidth="1"/>
    <col min="53" max="53" width="16.625" style="97" hidden="1" customWidth="1"/>
    <col min="54" max="54" width="16.625" style="92" hidden="1" customWidth="1"/>
    <col min="55" max="56" width="17.625" style="92" hidden="1" customWidth="1"/>
    <col min="57" max="57" width="16.625" style="92" hidden="1" customWidth="1"/>
    <col min="58" max="60" width="16.625" style="92" customWidth="1"/>
    <col min="61" max="61" width="17.625" style="94" hidden="1" customWidth="1"/>
    <col min="62" max="63" width="17.625" style="94" customWidth="1"/>
    <col min="64" max="64" width="17.625" style="93" hidden="1" customWidth="1"/>
    <col min="65" max="67" width="9.00390625" style="89" customWidth="1"/>
    <col min="68" max="68" width="20.50390625" style="89" customWidth="1"/>
    <col min="69" max="16384" width="9.00390625" style="89" customWidth="1"/>
  </cols>
  <sheetData>
    <row r="1" ht="20.25">
      <c r="A1" s="98" t="s">
        <v>0</v>
      </c>
    </row>
    <row r="2" spans="1:64" s="84" customFormat="1" ht="36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s="85" customFormat="1" ht="28.5" customHeight="1">
      <c r="A3" s="100" t="s">
        <v>2</v>
      </c>
      <c r="H3" s="101"/>
      <c r="I3" s="101"/>
      <c r="J3" s="101"/>
      <c r="K3" s="101"/>
      <c r="M3" s="137"/>
      <c r="N3" s="137"/>
      <c r="Q3" s="148"/>
      <c r="R3" s="148"/>
      <c r="S3" s="148"/>
      <c r="U3" s="148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J3" s="174"/>
      <c r="AK3" s="174"/>
      <c r="AL3" s="174"/>
      <c r="AM3" s="174"/>
      <c r="AN3" s="174"/>
      <c r="AO3" s="174"/>
      <c r="AP3" s="174"/>
      <c r="AQ3" s="191"/>
      <c r="AR3" s="174"/>
      <c r="AS3" s="192"/>
      <c r="AT3" s="192"/>
      <c r="AU3" s="174"/>
      <c r="AV3" s="193" t="s">
        <v>3</v>
      </c>
      <c r="AW3" s="197"/>
      <c r="AX3" s="197"/>
      <c r="AY3" s="193" t="s">
        <v>3</v>
      </c>
      <c r="BA3" s="197"/>
      <c r="BI3" s="202"/>
      <c r="BJ3" s="202"/>
      <c r="BK3" s="202" t="s">
        <v>4</v>
      </c>
      <c r="BL3" s="202" t="s">
        <v>4</v>
      </c>
    </row>
    <row r="4" spans="1:64" s="85" customFormat="1" ht="60" customHeight="1">
      <c r="A4" s="102" t="s">
        <v>5</v>
      </c>
      <c r="B4" s="103" t="s">
        <v>6</v>
      </c>
      <c r="C4" s="103" t="s">
        <v>7</v>
      </c>
      <c r="D4" s="104" t="s">
        <v>8</v>
      </c>
      <c r="E4" s="104" t="s">
        <v>9</v>
      </c>
      <c r="F4" s="104" t="s">
        <v>10</v>
      </c>
      <c r="G4" s="104" t="s">
        <v>11</v>
      </c>
      <c r="H4" s="105" t="s">
        <v>12</v>
      </c>
      <c r="I4" s="105" t="s">
        <v>13</v>
      </c>
      <c r="J4" s="105" t="s">
        <v>14</v>
      </c>
      <c r="K4" s="105" t="s">
        <v>15</v>
      </c>
      <c r="L4" s="138" t="s">
        <v>16</v>
      </c>
      <c r="M4" s="139" t="s">
        <v>17</v>
      </c>
      <c r="N4" s="139" t="s">
        <v>18</v>
      </c>
      <c r="O4" s="140" t="s">
        <v>19</v>
      </c>
      <c r="P4" s="138" t="s">
        <v>20</v>
      </c>
      <c r="Q4" s="138" t="s">
        <v>21</v>
      </c>
      <c r="R4" s="140" t="s">
        <v>22</v>
      </c>
      <c r="S4" s="138" t="s">
        <v>23</v>
      </c>
      <c r="T4" s="150" t="s">
        <v>24</v>
      </c>
      <c r="U4" s="140" t="s">
        <v>25</v>
      </c>
      <c r="V4" s="140" t="s">
        <v>26</v>
      </c>
      <c r="W4" s="139" t="s">
        <v>27</v>
      </c>
      <c r="X4" s="139" t="s">
        <v>28</v>
      </c>
      <c r="Y4" s="139"/>
      <c r="Z4" s="139" t="s">
        <v>29</v>
      </c>
      <c r="AA4" s="139" t="s">
        <v>30</v>
      </c>
      <c r="AB4" s="139" t="s">
        <v>31</v>
      </c>
      <c r="AC4" s="139" t="s">
        <v>32</v>
      </c>
      <c r="AD4" s="139" t="s">
        <v>33</v>
      </c>
      <c r="AE4" s="139" t="s">
        <v>34</v>
      </c>
      <c r="AF4" s="139" t="s">
        <v>35</v>
      </c>
      <c r="AG4" s="102" t="s">
        <v>36</v>
      </c>
      <c r="AH4" s="103" t="s">
        <v>6</v>
      </c>
      <c r="AI4" s="103" t="s">
        <v>7</v>
      </c>
      <c r="AJ4" s="103" t="s">
        <v>8</v>
      </c>
      <c r="AK4" s="104" t="s">
        <v>9</v>
      </c>
      <c r="AL4" s="104" t="s">
        <v>10</v>
      </c>
      <c r="AM4" s="104" t="s">
        <v>37</v>
      </c>
      <c r="AN4" s="104" t="s">
        <v>12</v>
      </c>
      <c r="AO4" s="104" t="s">
        <v>13</v>
      </c>
      <c r="AP4" s="104" t="s">
        <v>14</v>
      </c>
      <c r="AQ4" s="104" t="s">
        <v>15</v>
      </c>
      <c r="AR4" s="138" t="s">
        <v>16</v>
      </c>
      <c r="AS4" s="139" t="s">
        <v>17</v>
      </c>
      <c r="AT4" s="139" t="s">
        <v>18</v>
      </c>
      <c r="AU4" s="140" t="s">
        <v>19</v>
      </c>
      <c r="AV4" s="138" t="s">
        <v>20</v>
      </c>
      <c r="AW4" s="138" t="s">
        <v>21</v>
      </c>
      <c r="AX4" s="140" t="s">
        <v>22</v>
      </c>
      <c r="AY4" s="138" t="s">
        <v>23</v>
      </c>
      <c r="AZ4" s="150" t="s">
        <v>24</v>
      </c>
      <c r="BA4" s="140" t="s">
        <v>25</v>
      </c>
      <c r="BB4" s="140" t="s">
        <v>26</v>
      </c>
      <c r="BC4" s="139" t="s">
        <v>27</v>
      </c>
      <c r="BD4" s="139" t="s">
        <v>28</v>
      </c>
      <c r="BE4" s="139"/>
      <c r="BF4" s="139" t="s">
        <v>29</v>
      </c>
      <c r="BG4" s="139" t="s">
        <v>30</v>
      </c>
      <c r="BH4" s="139" t="s">
        <v>31</v>
      </c>
      <c r="BI4" s="139" t="s">
        <v>32</v>
      </c>
      <c r="BJ4" s="139" t="s">
        <v>34</v>
      </c>
      <c r="BK4" s="139" t="s">
        <v>35</v>
      </c>
      <c r="BL4" s="139" t="s">
        <v>38</v>
      </c>
    </row>
    <row r="5" spans="1:64" s="86" customFormat="1" ht="33.75" customHeight="1">
      <c r="A5" s="106" t="s">
        <v>39</v>
      </c>
      <c r="B5" s="107" t="e">
        <f>B6+B7+B34</f>
        <v>#REF!</v>
      </c>
      <c r="C5" s="107" t="e">
        <f>C6+C7+C34</f>
        <v>#REF!</v>
      </c>
      <c r="D5" s="107" t="e">
        <f aca="true" t="shared" si="0" ref="D5:J5">D6+D7</f>
        <v>#REF!</v>
      </c>
      <c r="E5" s="107" t="e">
        <f t="shared" si="0"/>
        <v>#REF!</v>
      </c>
      <c r="F5" s="107" t="e">
        <f t="shared" si="0"/>
        <v>#REF!</v>
      </c>
      <c r="G5" s="107" t="e">
        <f t="shared" si="0"/>
        <v>#REF!</v>
      </c>
      <c r="H5" s="108" t="e">
        <f t="shared" si="0"/>
        <v>#REF!</v>
      </c>
      <c r="I5" s="108" t="e">
        <f t="shared" si="0"/>
        <v>#REF!</v>
      </c>
      <c r="J5" s="108" t="e">
        <f t="shared" si="0"/>
        <v>#REF!</v>
      </c>
      <c r="K5" s="108">
        <f>K6+K7-0.01</f>
        <v>17084.510000000002</v>
      </c>
      <c r="L5" s="141" t="e">
        <f aca="true" t="shared" si="1" ref="L5:L9">J5/H5-1</f>
        <v>#REF!</v>
      </c>
      <c r="M5" s="108">
        <f>M6+M7</f>
        <v>14480.83</v>
      </c>
      <c r="N5" s="108">
        <f>N6+N7</f>
        <v>14674.21</v>
      </c>
      <c r="O5" s="141" t="e">
        <f aca="true" t="shared" si="2" ref="O5:O9">J5/I5</f>
        <v>#REF!</v>
      </c>
      <c r="P5" s="141" t="e">
        <f aca="true" t="shared" si="3" ref="P5:P9">K5/J5-1</f>
        <v>#REF!</v>
      </c>
      <c r="Q5" s="151" t="e">
        <f aca="true" t="shared" si="4" ref="Q5:Q11">(H5-F5)/F5</f>
        <v>#REF!</v>
      </c>
      <c r="R5" s="151" t="e">
        <f aca="true" t="shared" si="5" ref="R5:R9">H5/G5</f>
        <v>#REF!</v>
      </c>
      <c r="S5" s="151" t="e">
        <f aca="true" t="shared" si="6" ref="S5:S9">(I5-H5)/H5</f>
        <v>#REF!</v>
      </c>
      <c r="T5" s="151" t="e">
        <f aca="true" t="shared" si="7" ref="T5:T10">(F5-D5)/D5</f>
        <v>#REF!</v>
      </c>
      <c r="U5" s="151" t="e">
        <f aca="true" t="shared" si="8" ref="U5:U10">F5/E5</f>
        <v>#REF!</v>
      </c>
      <c r="V5" s="151" t="e">
        <f aca="true" t="shared" si="9" ref="V5:V10">(G5-F5)/F5</f>
        <v>#REF!</v>
      </c>
      <c r="W5" s="108" t="e">
        <f>W6+W7</f>
        <v>#REF!</v>
      </c>
      <c r="X5" s="108">
        <f>X6+X7+0.01</f>
        <v>16068.640000000001</v>
      </c>
      <c r="Y5" s="108" t="e">
        <f>X5-W5</f>
        <v>#REF!</v>
      </c>
      <c r="Z5" s="108">
        <v>14286.7</v>
      </c>
      <c r="AA5" s="108">
        <v>14077.62</v>
      </c>
      <c r="AB5" s="108">
        <f>AB6+AB7</f>
        <v>13212.65</v>
      </c>
      <c r="AC5" s="160" t="e">
        <f aca="true" t="shared" si="10" ref="AC5:AC9">W5/N5</f>
        <v>#REF!</v>
      </c>
      <c r="AD5" s="161" t="e">
        <f aca="true" t="shared" si="11" ref="AD5:AD9">X5/W5-1</f>
        <v>#REF!</v>
      </c>
      <c r="AE5" s="161">
        <f>AA5/Z5</f>
        <v>0.9853654097867247</v>
      </c>
      <c r="AF5" s="161">
        <f aca="true" t="shared" si="12" ref="AF5:AF9">AB5/AA5-1</f>
        <v>-0.061442914356262035</v>
      </c>
      <c r="AG5" s="106" t="s">
        <v>40</v>
      </c>
      <c r="AH5" s="124" t="e">
        <f>AH6+AH7+AH8+AH9+AH10+AH11+AH12+AH13+AH14+AH15+AH16+AH17+#REF!+#REF!</f>
        <v>#REF!</v>
      </c>
      <c r="AI5" s="124" t="e">
        <f>AI6+AI7+AI8+AI9+AI10+AI11+AI12+AI13+AI14+AI15+AI16+AI17+#REF!+#REF!</f>
        <v>#REF!</v>
      </c>
      <c r="AJ5" s="124" t="e">
        <f>AJ6+AJ7+AJ8+AJ9+AJ10+AJ11+AJ12+AJ13+AJ14+AJ15+AJ16+AJ17+#REF!+#REF!+#REF!+#REF!+AJ18+AJ19+AJ20</f>
        <v>#REF!</v>
      </c>
      <c r="AK5" s="124" t="e">
        <f>AK6+AK7+AK8+AK9+AK10+AK11+AK12+AK13+AK14+AK15+AK16+AK17+#REF!+#REF!+#REF!+#REF!+AK18+AK19+AK20</f>
        <v>#REF!</v>
      </c>
      <c r="AL5" s="124" t="e">
        <f>AL6+AL7+AL8+AL9+AL10+AL11+AL12+AL13+AL14+AL15+AL16+AL17+#REF!+#REF!+#REF!+#REF!+AL18+AL19+AL20+AL21</f>
        <v>#REF!</v>
      </c>
      <c r="AM5" s="124" t="e">
        <f>AM6+AM7+AM8+AM9+AM10+AM11+AM12+AM13+AM14+AM15+AM16+AM17+#REF!+#REF!+#REF!+#REF!+AM18+AM19+AM20+AM21+AM22</f>
        <v>#REF!</v>
      </c>
      <c r="AN5" s="108" t="e">
        <f>SUM(AN6:AN11)+AN12+AN13+AN14+AN15+AN16+AN17+AN18+AN19+AN21+AN22+#REF!+#REF!+AN20+#REF!</f>
        <v>#REF!</v>
      </c>
      <c r="AO5" s="108" t="e">
        <f>SUM(AO6:AO11)+AO12+AO13+AO14+AO15+AO16+AO17+AO18+AO19+AO21+AO22+#REF!+#REF!+AO20+#REF!</f>
        <v>#REF!</v>
      </c>
      <c r="AP5" s="108" t="e">
        <f>SUM(AP6:AP11)+AP12+AP13+AP14+AP15+AP16+AP17+AP18+AP19+AP21+AP22+#REF!+#REF!+AP20+#REF!</f>
        <v>#REF!</v>
      </c>
      <c r="AQ5" s="108">
        <v>32991.12</v>
      </c>
      <c r="AR5" s="141" t="e">
        <f>AP5/AN5-1</f>
        <v>#REF!</v>
      </c>
      <c r="AS5" s="108">
        <v>27698.31</v>
      </c>
      <c r="AT5" s="108">
        <v>32264.12</v>
      </c>
      <c r="AU5" s="141" t="e">
        <f>AP5/AO5</f>
        <v>#REF!</v>
      </c>
      <c r="AV5" s="141" t="e">
        <f aca="true" t="shared" si="13" ref="AV5:AV8">AQ5/AP5-1</f>
        <v>#REF!</v>
      </c>
      <c r="AW5" s="151" t="e">
        <f aca="true" t="shared" si="14" ref="AW5:AW11">(AN5-AL5)/AL5</f>
        <v>#REF!</v>
      </c>
      <c r="AX5" s="151" t="e">
        <f aca="true" t="shared" si="15" ref="AX5:AX11">AN5/AM5</f>
        <v>#REF!</v>
      </c>
      <c r="AY5" s="151" t="e">
        <f aca="true" t="shared" si="16" ref="AY5:AY11">(AO5-AN5)/AN5</f>
        <v>#REF!</v>
      </c>
      <c r="AZ5" s="151" t="e">
        <f aca="true" t="shared" si="17" ref="AZ5:AZ11">(AL5-AJ5)/AJ5</f>
        <v>#REF!</v>
      </c>
      <c r="BA5" s="151" t="e">
        <f aca="true" t="shared" si="18" ref="BA5:BA11">AL5/AK5</f>
        <v>#REF!</v>
      </c>
      <c r="BB5" s="151" t="e">
        <f aca="true" t="shared" si="19" ref="BB5:BB11">(AM5-AL5)/AL5</f>
        <v>#REF!</v>
      </c>
      <c r="BC5" s="108">
        <v>28452.81</v>
      </c>
      <c r="BD5" s="114">
        <f>SUM(BD6:BD24)</f>
        <v>42149.700000000004</v>
      </c>
      <c r="BE5" s="114">
        <f>BD5-BC5</f>
        <v>13696.890000000003</v>
      </c>
      <c r="BF5" s="114">
        <v>40276.68</v>
      </c>
      <c r="BG5" s="114">
        <v>36490.8</v>
      </c>
      <c r="BH5" s="114">
        <f>SUM(BH6:BH24)</f>
        <v>44496.1</v>
      </c>
      <c r="BI5" s="161">
        <f>BC5/AT5</f>
        <v>0.8818715650698051</v>
      </c>
      <c r="BJ5" s="161">
        <f>BG5/BF5</f>
        <v>0.9060031760313909</v>
      </c>
      <c r="BK5" s="161">
        <f>BH5/BG5-1</f>
        <v>0.21937858309491687</v>
      </c>
      <c r="BL5" s="160">
        <f>BD5/BC5-1</f>
        <v>0.4813897115961483</v>
      </c>
    </row>
    <row r="6" spans="1:64" s="85" customFormat="1" ht="33.75" customHeight="1">
      <c r="A6" s="109" t="s">
        <v>41</v>
      </c>
      <c r="B6" s="110"/>
      <c r="C6" s="110"/>
      <c r="D6" s="111">
        <v>10802</v>
      </c>
      <c r="E6" s="111">
        <v>12605</v>
      </c>
      <c r="F6" s="111">
        <v>10838</v>
      </c>
      <c r="G6" s="111">
        <v>8309</v>
      </c>
      <c r="H6" s="112">
        <v>4968</v>
      </c>
      <c r="I6" s="112">
        <v>5876</v>
      </c>
      <c r="J6" s="112">
        <v>5945.09</v>
      </c>
      <c r="K6" s="112">
        <v>7527.31</v>
      </c>
      <c r="L6" s="142">
        <f t="shared" si="1"/>
        <v>0.19667673107890504</v>
      </c>
      <c r="M6" s="112">
        <v>6696.78</v>
      </c>
      <c r="N6" s="112">
        <v>7613</v>
      </c>
      <c r="O6" s="142">
        <f t="shared" si="2"/>
        <v>1.0117579986385297</v>
      </c>
      <c r="P6" s="142">
        <f t="shared" si="3"/>
        <v>0.266138948274963</v>
      </c>
      <c r="Q6" s="151">
        <f t="shared" si="4"/>
        <v>-0.5416128436980993</v>
      </c>
      <c r="R6" s="151">
        <f t="shared" si="5"/>
        <v>0.5979058851847394</v>
      </c>
      <c r="S6" s="151">
        <f t="shared" si="6"/>
        <v>0.18276972624798712</v>
      </c>
      <c r="T6" s="151">
        <f t="shared" si="7"/>
        <v>0.0033327161636733937</v>
      </c>
      <c r="U6" s="151">
        <f t="shared" si="8"/>
        <v>0.8598175327251091</v>
      </c>
      <c r="V6" s="151">
        <f t="shared" si="9"/>
        <v>-0.23334563572614875</v>
      </c>
      <c r="W6" s="112">
        <v>8022.77</v>
      </c>
      <c r="X6" s="112">
        <v>8663.76</v>
      </c>
      <c r="Y6" s="112"/>
      <c r="Z6" s="112">
        <v>7857.37</v>
      </c>
      <c r="AA6" s="112">
        <v>7757.35</v>
      </c>
      <c r="AB6" s="112">
        <v>8380</v>
      </c>
      <c r="AC6" s="162">
        <f t="shared" si="10"/>
        <v>1.0538250361224222</v>
      </c>
      <c r="AD6" s="163">
        <f>ROUND(X6/W6-1,2)</f>
        <v>0.08</v>
      </c>
      <c r="AE6" s="163">
        <f>AA6/Z6</f>
        <v>0.9872705498150145</v>
      </c>
      <c r="AF6" s="163">
        <f t="shared" si="12"/>
        <v>0.08026581242305686</v>
      </c>
      <c r="AG6" s="175" t="s">
        <v>42</v>
      </c>
      <c r="AH6" s="111"/>
      <c r="AI6" s="176"/>
      <c r="AJ6" s="111">
        <v>3076</v>
      </c>
      <c r="AK6" s="111">
        <v>3605</v>
      </c>
      <c r="AL6" s="111">
        <v>4372</v>
      </c>
      <c r="AM6" s="111">
        <v>6076</v>
      </c>
      <c r="AN6" s="112">
        <v>5099</v>
      </c>
      <c r="AO6" s="112">
        <v>4209.2</v>
      </c>
      <c r="AP6" s="112">
        <v>3702.57</v>
      </c>
      <c r="AQ6" s="112">
        <v>4799.55</v>
      </c>
      <c r="AR6" s="142">
        <f aca="true" t="shared" si="20" ref="AR6:AR13">AP6/AN6-1</f>
        <v>-0.27386350264757797</v>
      </c>
      <c r="AS6" s="112">
        <v>3981.45</v>
      </c>
      <c r="AT6" s="112">
        <v>6093.84</v>
      </c>
      <c r="AU6" s="142">
        <f aca="true" t="shared" si="21" ref="AU6:AU13">AP6/AO6</f>
        <v>0.8796374608001521</v>
      </c>
      <c r="AV6" s="142">
        <f t="shared" si="13"/>
        <v>0.296275289866228</v>
      </c>
      <c r="AW6" s="151">
        <f t="shared" si="14"/>
        <v>0.16628545288197621</v>
      </c>
      <c r="AX6" s="151">
        <f t="shared" si="15"/>
        <v>0.8392034233048058</v>
      </c>
      <c r="AY6" s="151">
        <f t="shared" si="16"/>
        <v>-0.1745048048636988</v>
      </c>
      <c r="AZ6" s="151">
        <f t="shared" si="17"/>
        <v>0.4213263979193758</v>
      </c>
      <c r="BA6" s="151">
        <f t="shared" si="18"/>
        <v>1.212760055478502</v>
      </c>
      <c r="BB6" s="151">
        <f t="shared" si="19"/>
        <v>0.3897529734675206</v>
      </c>
      <c r="BC6" s="112">
        <v>4345.91</v>
      </c>
      <c r="BD6" s="112">
        <v>6134.54</v>
      </c>
      <c r="BE6" s="112"/>
      <c r="BF6" s="112">
        <v>6605.29</v>
      </c>
      <c r="BG6" s="112">
        <v>5663.83</v>
      </c>
      <c r="BH6" s="112">
        <v>7614.05</v>
      </c>
      <c r="BI6" s="163">
        <f aca="true" t="shared" si="22" ref="BI6:BI39">BC6/AT6</f>
        <v>0.7131644414687619</v>
      </c>
      <c r="BJ6" s="163">
        <f>BG6/BF6</f>
        <v>0.8574687863818242</v>
      </c>
      <c r="BK6" s="163">
        <f>BH6/BG6-1</f>
        <v>0.34432883755338706</v>
      </c>
      <c r="BL6" s="162">
        <f aca="true" t="shared" si="23" ref="BL6:BL39">BD6/BC6-1</f>
        <v>0.4115662772583879</v>
      </c>
    </row>
    <row r="7" spans="1:64" s="85" customFormat="1" ht="33.75" customHeight="1">
      <c r="A7" s="109" t="s">
        <v>43</v>
      </c>
      <c r="B7" s="110" t="e">
        <f>B8+B10+#REF!+B13+B14</f>
        <v>#REF!</v>
      </c>
      <c r="C7" s="110" t="e">
        <f>C8+C10+#REF!+C13+C14</f>
        <v>#REF!</v>
      </c>
      <c r="D7" s="110" t="e">
        <f>D8+D10+#REF!+D13+D14+#REF!</f>
        <v>#REF!</v>
      </c>
      <c r="E7" s="110" t="e">
        <f>E8+E10+#REF!+E13+E14+#REF!</f>
        <v>#REF!</v>
      </c>
      <c r="F7" s="110" t="e">
        <f>F8+F10+#REF!+F13+F14+#REF!</f>
        <v>#REF!</v>
      </c>
      <c r="G7" s="110" t="e">
        <f>G8+G10+#REF!+G13+G14+#REF!</f>
        <v>#REF!</v>
      </c>
      <c r="H7" s="112" t="e">
        <f>H8+H10+#REF!+#REF!+H13+H14</f>
        <v>#REF!</v>
      </c>
      <c r="I7" s="112" t="e">
        <f>I8+I10+#REF!+#REF!+I13+I14</f>
        <v>#REF!</v>
      </c>
      <c r="J7" s="112" t="e">
        <f>J8+J10+#REF!+#REF!+J13+J14</f>
        <v>#REF!</v>
      </c>
      <c r="K7" s="112">
        <v>9557.21</v>
      </c>
      <c r="L7" s="142" t="e">
        <f t="shared" si="1"/>
        <v>#REF!</v>
      </c>
      <c r="M7" s="112">
        <v>7784.05</v>
      </c>
      <c r="N7" s="112">
        <v>7061.21</v>
      </c>
      <c r="O7" s="142" t="e">
        <f t="shared" si="2"/>
        <v>#REF!</v>
      </c>
      <c r="P7" s="142" t="e">
        <f t="shared" si="3"/>
        <v>#REF!</v>
      </c>
      <c r="Q7" s="151" t="e">
        <f t="shared" si="4"/>
        <v>#REF!</v>
      </c>
      <c r="R7" s="151" t="e">
        <f t="shared" si="5"/>
        <v>#REF!</v>
      </c>
      <c r="S7" s="151" t="e">
        <f t="shared" si="6"/>
        <v>#REF!</v>
      </c>
      <c r="T7" s="151" t="e">
        <f t="shared" si="7"/>
        <v>#REF!</v>
      </c>
      <c r="U7" s="151" t="e">
        <f t="shared" si="8"/>
        <v>#REF!</v>
      </c>
      <c r="V7" s="151" t="e">
        <f t="shared" si="9"/>
        <v>#REF!</v>
      </c>
      <c r="W7" s="112" t="e">
        <f>W8+W10+#REF!+#REF!+W13+W14</f>
        <v>#REF!</v>
      </c>
      <c r="X7" s="112">
        <f aca="true" t="shared" si="24" ref="X7:AB7">X8+X10+X13+X14</f>
        <v>7404.87</v>
      </c>
      <c r="Y7" s="112"/>
      <c r="Z7" s="112">
        <v>6429.32</v>
      </c>
      <c r="AA7" s="112">
        <f t="shared" si="24"/>
        <v>6320.2699999999995</v>
      </c>
      <c r="AB7" s="112">
        <f t="shared" si="24"/>
        <v>4832.65</v>
      </c>
      <c r="AC7" s="162" t="e">
        <f t="shared" si="10"/>
        <v>#REF!</v>
      </c>
      <c r="AD7" s="163" t="e">
        <f t="shared" si="11"/>
        <v>#REF!</v>
      </c>
      <c r="AE7" s="163">
        <f aca="true" t="shared" si="25" ref="AE7:AE14">AA7/Z7</f>
        <v>0.9830386417226082</v>
      </c>
      <c r="AF7" s="163">
        <f t="shared" si="12"/>
        <v>-0.2353728559064724</v>
      </c>
      <c r="AG7" s="175" t="s">
        <v>44</v>
      </c>
      <c r="AH7" s="111"/>
      <c r="AI7" s="176"/>
      <c r="AJ7" s="111">
        <v>1464</v>
      </c>
      <c r="AK7" s="111">
        <v>1517</v>
      </c>
      <c r="AL7" s="111">
        <v>1847</v>
      </c>
      <c r="AM7" s="111">
        <v>2453</v>
      </c>
      <c r="AN7" s="112">
        <v>2695</v>
      </c>
      <c r="AO7" s="112">
        <v>3373.69</v>
      </c>
      <c r="AP7" s="112">
        <v>2821.64</v>
      </c>
      <c r="AQ7" s="112">
        <v>3336.4</v>
      </c>
      <c r="AR7" s="142">
        <f t="shared" si="20"/>
        <v>0.04699072356215206</v>
      </c>
      <c r="AS7" s="112">
        <v>3062.31</v>
      </c>
      <c r="AT7" s="112">
        <v>3281.68</v>
      </c>
      <c r="AU7" s="142">
        <f t="shared" si="21"/>
        <v>0.8363661154403634</v>
      </c>
      <c r="AV7" s="142">
        <f t="shared" si="13"/>
        <v>0.18243291135651618</v>
      </c>
      <c r="AW7" s="151">
        <f t="shared" si="14"/>
        <v>0.4591229020032485</v>
      </c>
      <c r="AX7" s="151">
        <f t="shared" si="15"/>
        <v>1.0986547085201794</v>
      </c>
      <c r="AY7" s="151">
        <f t="shared" si="16"/>
        <v>0.2518330241187384</v>
      </c>
      <c r="AZ7" s="151">
        <f t="shared" si="17"/>
        <v>0.2616120218579235</v>
      </c>
      <c r="BA7" s="151">
        <f t="shared" si="18"/>
        <v>1.2175346077785103</v>
      </c>
      <c r="BB7" s="151">
        <f t="shared" si="19"/>
        <v>0.32809962100703843</v>
      </c>
      <c r="BC7" s="112">
        <v>3419.39</v>
      </c>
      <c r="BD7" s="112">
        <v>3758.47</v>
      </c>
      <c r="BE7" s="112"/>
      <c r="BF7" s="112">
        <v>3971.13</v>
      </c>
      <c r="BG7" s="112">
        <v>3676.02</v>
      </c>
      <c r="BH7" s="112">
        <v>4015.65</v>
      </c>
      <c r="BI7" s="163">
        <f t="shared" si="22"/>
        <v>1.0419632627190951</v>
      </c>
      <c r="BJ7" s="163">
        <f aca="true" t="shared" si="26" ref="BJ7:BJ24">BG7/BF7</f>
        <v>0.9256861397133813</v>
      </c>
      <c r="BK7" s="163">
        <f aca="true" t="shared" si="27" ref="BK7:BK27">BH7/BG7-1</f>
        <v>0.09239068340215773</v>
      </c>
      <c r="BL7" s="162">
        <f t="shared" si="23"/>
        <v>0.09916388595626713</v>
      </c>
    </row>
    <row r="8" spans="1:64" s="85" customFormat="1" ht="33.75" customHeight="1">
      <c r="A8" s="113" t="s">
        <v>45</v>
      </c>
      <c r="B8" s="110" t="e">
        <f>#REF!-#REF!</f>
        <v>#REF!</v>
      </c>
      <c r="C8" s="110" t="e">
        <f>#REF!-#REF!</f>
        <v>#REF!</v>
      </c>
      <c r="D8" s="111">
        <f aca="true" t="shared" si="28" ref="D8:G8">SUM(D9:D9)</f>
        <v>445</v>
      </c>
      <c r="E8" s="111">
        <f t="shared" si="28"/>
        <v>556</v>
      </c>
      <c r="F8" s="111">
        <f t="shared" si="28"/>
        <v>981</v>
      </c>
      <c r="G8" s="111">
        <f t="shared" si="28"/>
        <v>546</v>
      </c>
      <c r="H8" s="112">
        <f aca="true" t="shared" si="29" ref="H8:J8">H9</f>
        <v>719</v>
      </c>
      <c r="I8" s="112">
        <f t="shared" si="29"/>
        <v>406</v>
      </c>
      <c r="J8" s="112">
        <f t="shared" si="29"/>
        <v>826.16</v>
      </c>
      <c r="K8" s="112">
        <v>1076</v>
      </c>
      <c r="L8" s="142">
        <f t="shared" si="1"/>
        <v>0.14904033379694015</v>
      </c>
      <c r="M8" s="112">
        <v>894.17</v>
      </c>
      <c r="N8" s="112">
        <v>986</v>
      </c>
      <c r="O8" s="142">
        <f t="shared" si="2"/>
        <v>2.0348768472906404</v>
      </c>
      <c r="P8" s="142">
        <f t="shared" si="3"/>
        <v>0.3024111552241697</v>
      </c>
      <c r="Q8" s="151">
        <f t="shared" si="4"/>
        <v>-0.2670744138634047</v>
      </c>
      <c r="R8" s="151">
        <f t="shared" si="5"/>
        <v>1.3168498168498168</v>
      </c>
      <c r="S8" s="151">
        <f t="shared" si="6"/>
        <v>-0.43532684283727396</v>
      </c>
      <c r="T8" s="151">
        <f t="shared" si="7"/>
        <v>1.2044943820224718</v>
      </c>
      <c r="U8" s="151">
        <f t="shared" si="8"/>
        <v>1.764388489208633</v>
      </c>
      <c r="V8" s="151">
        <f t="shared" si="9"/>
        <v>-0.4434250764525994</v>
      </c>
      <c r="W8" s="112">
        <v>909.73</v>
      </c>
      <c r="X8" s="112">
        <v>936.1</v>
      </c>
      <c r="Y8" s="112"/>
      <c r="Z8" s="112">
        <v>936.1</v>
      </c>
      <c r="AA8" s="112">
        <v>873.89</v>
      </c>
      <c r="AB8" s="112">
        <v>938</v>
      </c>
      <c r="AC8" s="162">
        <f t="shared" si="10"/>
        <v>0.9226470588235294</v>
      </c>
      <c r="AD8" s="163">
        <f t="shared" si="11"/>
        <v>0.028986622404449713</v>
      </c>
      <c r="AE8" s="163">
        <f t="shared" si="25"/>
        <v>0.9335434248477726</v>
      </c>
      <c r="AF8" s="163">
        <f t="shared" si="12"/>
        <v>0.07336163590383227</v>
      </c>
      <c r="AG8" s="177" t="s">
        <v>46</v>
      </c>
      <c r="AH8" s="111"/>
      <c r="AI8" s="176"/>
      <c r="AJ8" s="111">
        <v>3705</v>
      </c>
      <c r="AK8" s="111">
        <v>3044</v>
      </c>
      <c r="AL8" s="111">
        <v>3610</v>
      </c>
      <c r="AM8" s="111">
        <v>3488</v>
      </c>
      <c r="AN8" s="112">
        <v>3445</v>
      </c>
      <c r="AO8" s="112">
        <v>3748.29</v>
      </c>
      <c r="AP8" s="112">
        <v>3925.83</v>
      </c>
      <c r="AQ8" s="112">
        <v>4224.03</v>
      </c>
      <c r="AR8" s="142">
        <f t="shared" si="20"/>
        <v>0.13957329462989843</v>
      </c>
      <c r="AS8" s="112">
        <v>4311.19</v>
      </c>
      <c r="AT8" s="112">
        <v>4719.52</v>
      </c>
      <c r="AU8" s="142">
        <f t="shared" si="21"/>
        <v>1.047365598713013</v>
      </c>
      <c r="AV8" s="142">
        <f t="shared" si="13"/>
        <v>0.07595845973972382</v>
      </c>
      <c r="AW8" s="151">
        <f t="shared" si="14"/>
        <v>-0.045706371191135735</v>
      </c>
      <c r="AX8" s="151">
        <f t="shared" si="15"/>
        <v>0.9876720183486238</v>
      </c>
      <c r="AY8" s="151">
        <f t="shared" si="16"/>
        <v>0.0880377358490566</v>
      </c>
      <c r="AZ8" s="151">
        <f t="shared" si="17"/>
        <v>-0.02564102564102564</v>
      </c>
      <c r="BA8" s="151">
        <f t="shared" si="18"/>
        <v>1.185939553219448</v>
      </c>
      <c r="BB8" s="151">
        <f t="shared" si="19"/>
        <v>-0.033795013850415515</v>
      </c>
      <c r="BC8" s="112">
        <v>4554.7</v>
      </c>
      <c r="BD8" s="112">
        <v>4933.57</v>
      </c>
      <c r="BE8" s="112"/>
      <c r="BF8" s="112">
        <v>4968.56</v>
      </c>
      <c r="BG8" s="112">
        <v>5003.94</v>
      </c>
      <c r="BH8" s="112">
        <v>5463.81</v>
      </c>
      <c r="BI8" s="163">
        <f t="shared" si="22"/>
        <v>0.9650769569786757</v>
      </c>
      <c r="BJ8" s="163">
        <f t="shared" si="26"/>
        <v>1.007120775435941</v>
      </c>
      <c r="BK8" s="163">
        <f t="shared" si="27"/>
        <v>0.09190158155373584</v>
      </c>
      <c r="BL8" s="162">
        <f t="shared" si="23"/>
        <v>0.08318220739016846</v>
      </c>
    </row>
    <row r="9" spans="1:64" s="85" customFormat="1" ht="33.75" customHeight="1">
      <c r="A9" s="113" t="s">
        <v>47</v>
      </c>
      <c r="B9" s="110" t="e">
        <f>#REF!-#REF!</f>
        <v>#REF!</v>
      </c>
      <c r="C9" s="110" t="e">
        <f>#REF!-#REF!</f>
        <v>#REF!</v>
      </c>
      <c r="D9" s="111">
        <v>445</v>
      </c>
      <c r="E9" s="111">
        <v>556</v>
      </c>
      <c r="F9" s="111">
        <v>981</v>
      </c>
      <c r="G9" s="111">
        <v>546</v>
      </c>
      <c r="H9" s="112">
        <v>719</v>
      </c>
      <c r="I9" s="112">
        <v>406</v>
      </c>
      <c r="J9" s="112">
        <v>826.16</v>
      </c>
      <c r="K9" s="112">
        <v>1076</v>
      </c>
      <c r="L9" s="142">
        <f t="shared" si="1"/>
        <v>0.14904033379694015</v>
      </c>
      <c r="M9" s="112">
        <v>894.17</v>
      </c>
      <c r="N9" s="112">
        <v>986</v>
      </c>
      <c r="O9" s="142">
        <f t="shared" si="2"/>
        <v>2.0348768472906404</v>
      </c>
      <c r="P9" s="142">
        <f t="shared" si="3"/>
        <v>0.3024111552241697</v>
      </c>
      <c r="Q9" s="151">
        <f t="shared" si="4"/>
        <v>-0.2670744138634047</v>
      </c>
      <c r="R9" s="151">
        <f t="shared" si="5"/>
        <v>1.3168498168498168</v>
      </c>
      <c r="S9" s="151">
        <f t="shared" si="6"/>
        <v>-0.43532684283727396</v>
      </c>
      <c r="T9" s="151">
        <f t="shared" si="7"/>
        <v>1.2044943820224718</v>
      </c>
      <c r="U9" s="151">
        <f t="shared" si="8"/>
        <v>1.764388489208633</v>
      </c>
      <c r="V9" s="151">
        <f t="shared" si="9"/>
        <v>-0.4434250764525994</v>
      </c>
      <c r="W9" s="112">
        <v>909.73</v>
      </c>
      <c r="X9" s="112">
        <v>936.1</v>
      </c>
      <c r="Y9" s="112"/>
      <c r="Z9" s="112">
        <v>936.1</v>
      </c>
      <c r="AA9" s="112">
        <v>873.89</v>
      </c>
      <c r="AB9" s="112">
        <v>938</v>
      </c>
      <c r="AC9" s="162">
        <f t="shared" si="10"/>
        <v>0.9226470588235294</v>
      </c>
      <c r="AD9" s="163">
        <f t="shared" si="11"/>
        <v>0.028986622404449713</v>
      </c>
      <c r="AE9" s="163">
        <f t="shared" si="25"/>
        <v>0.9335434248477726</v>
      </c>
      <c r="AF9" s="163">
        <f t="shared" si="12"/>
        <v>0.07336163590383227</v>
      </c>
      <c r="AG9" s="178" t="s">
        <v>48</v>
      </c>
      <c r="AH9" s="111"/>
      <c r="AI9" s="176"/>
      <c r="AJ9" s="111">
        <v>8</v>
      </c>
      <c r="AK9" s="111">
        <v>10</v>
      </c>
      <c r="AL9" s="111">
        <v>35</v>
      </c>
      <c r="AM9" s="111">
        <v>25</v>
      </c>
      <c r="AN9" s="112">
        <v>25</v>
      </c>
      <c r="AO9" s="112">
        <v>25.2</v>
      </c>
      <c r="AP9" s="112">
        <v>85.72</v>
      </c>
      <c r="AQ9" s="112">
        <v>22.5</v>
      </c>
      <c r="AR9" s="142">
        <f t="shared" si="20"/>
        <v>2.4288</v>
      </c>
      <c r="AS9" s="112">
        <v>569.68</v>
      </c>
      <c r="AT9" s="112">
        <v>104.53</v>
      </c>
      <c r="AU9" s="142">
        <f t="shared" si="21"/>
        <v>3.4015873015873015</v>
      </c>
      <c r="AV9" s="142">
        <v>0.02</v>
      </c>
      <c r="AW9" s="151">
        <f t="shared" si="14"/>
        <v>-0.2857142857142857</v>
      </c>
      <c r="AX9" s="151">
        <f t="shared" si="15"/>
        <v>1</v>
      </c>
      <c r="AY9" s="151">
        <f t="shared" si="16"/>
        <v>0.007999999999999972</v>
      </c>
      <c r="AZ9" s="151">
        <f t="shared" si="17"/>
        <v>3.375</v>
      </c>
      <c r="BA9" s="151">
        <f t="shared" si="18"/>
        <v>3.5</v>
      </c>
      <c r="BB9" s="151">
        <f t="shared" si="19"/>
        <v>-0.2857142857142857</v>
      </c>
      <c r="BC9" s="112">
        <v>742.64</v>
      </c>
      <c r="BD9" s="112">
        <v>606.65</v>
      </c>
      <c r="BE9" s="112"/>
      <c r="BF9" s="112">
        <v>1096.04</v>
      </c>
      <c r="BG9" s="112">
        <v>1008.54</v>
      </c>
      <c r="BH9" s="112">
        <v>608.06</v>
      </c>
      <c r="BI9" s="163">
        <f t="shared" si="22"/>
        <v>7.104563283267961</v>
      </c>
      <c r="BJ9" s="163">
        <f t="shared" si="26"/>
        <v>0.9201671471844093</v>
      </c>
      <c r="BK9" s="163">
        <f t="shared" si="27"/>
        <v>-0.3970888611259842</v>
      </c>
      <c r="BL9" s="162">
        <f t="shared" si="23"/>
        <v>-0.18311698804265863</v>
      </c>
    </row>
    <row r="10" spans="1:64" s="85" customFormat="1" ht="33.75" customHeight="1">
      <c r="A10" s="113" t="s">
        <v>49</v>
      </c>
      <c r="B10" s="110" t="e">
        <f>#REF!-#REF!</f>
        <v>#REF!</v>
      </c>
      <c r="C10" s="110" t="e">
        <f>#REF!-#REF!</f>
        <v>#REF!</v>
      </c>
      <c r="D10" s="110">
        <f aca="true" t="shared" si="30" ref="D10:G10">SUM(D11:D12)</f>
        <v>1410</v>
      </c>
      <c r="E10" s="110">
        <f t="shared" si="30"/>
        <v>3404</v>
      </c>
      <c r="F10" s="110">
        <f t="shared" si="30"/>
        <v>2242</v>
      </c>
      <c r="G10" s="110">
        <f t="shared" si="30"/>
        <v>2501</v>
      </c>
      <c r="H10" s="112">
        <v>2471</v>
      </c>
      <c r="I10" s="112">
        <f>I11+I12</f>
        <v>1098</v>
      </c>
      <c r="J10" s="112">
        <f>J11+J12</f>
        <v>1210.48</v>
      </c>
      <c r="K10" s="112">
        <v>1011.91</v>
      </c>
      <c r="L10" s="142">
        <f aca="true" t="shared" si="31" ref="L10:L14">J10/H10-1</f>
        <v>-0.5101254552812626</v>
      </c>
      <c r="M10" s="112">
        <v>955.95</v>
      </c>
      <c r="N10" s="112">
        <v>1189.71</v>
      </c>
      <c r="O10" s="142">
        <f aca="true" t="shared" si="32" ref="O10:O14">J10/I10</f>
        <v>1.102440801457195</v>
      </c>
      <c r="P10" s="142">
        <f aca="true" t="shared" si="33" ref="P10:P14">K10/J10-1</f>
        <v>-0.16404236335998945</v>
      </c>
      <c r="Q10" s="151">
        <f t="shared" si="4"/>
        <v>0.10214094558429973</v>
      </c>
      <c r="R10" s="151">
        <f aca="true" t="shared" si="34" ref="R10:R13">H10/G10</f>
        <v>0.9880047980807677</v>
      </c>
      <c r="S10" s="151">
        <f aca="true" t="shared" si="35" ref="S10:S13">(I10-H10)/H10</f>
        <v>-0.5556454876568191</v>
      </c>
      <c r="T10" s="151">
        <f t="shared" si="7"/>
        <v>0.5900709219858156</v>
      </c>
      <c r="U10" s="151">
        <f t="shared" si="8"/>
        <v>0.6586368977673326</v>
      </c>
      <c r="V10" s="151">
        <f t="shared" si="9"/>
        <v>0.11552185548617305</v>
      </c>
      <c r="W10" s="112">
        <v>1277.43</v>
      </c>
      <c r="X10" s="112">
        <v>301.07</v>
      </c>
      <c r="Y10" s="112"/>
      <c r="Z10" s="112">
        <v>1301.07</v>
      </c>
      <c r="AA10" s="112">
        <f>AA11+AA12</f>
        <v>1270.5</v>
      </c>
      <c r="AB10" s="112">
        <f>AB11+AB12</f>
        <v>617.65</v>
      </c>
      <c r="AC10" s="162">
        <f aca="true" t="shared" si="36" ref="AC10:AC14">W10/N10</f>
        <v>1.073732254078725</v>
      </c>
      <c r="AD10" s="163">
        <f aca="true" t="shared" si="37" ref="AD10:AD14">X10/W10-1</f>
        <v>-0.7643158529234478</v>
      </c>
      <c r="AE10" s="163">
        <f t="shared" si="25"/>
        <v>0.9765039544375015</v>
      </c>
      <c r="AF10" s="163">
        <f aca="true" t="shared" si="38" ref="AF10:AF14">AB10/AA10-1</f>
        <v>-0.5138528138528139</v>
      </c>
      <c r="AG10" s="178" t="s">
        <v>50</v>
      </c>
      <c r="AH10" s="111"/>
      <c r="AI10" s="176"/>
      <c r="AJ10" s="111">
        <v>192</v>
      </c>
      <c r="AK10" s="111">
        <v>101</v>
      </c>
      <c r="AL10" s="111">
        <v>287</v>
      </c>
      <c r="AM10" s="111">
        <v>365</v>
      </c>
      <c r="AN10" s="112">
        <v>422</v>
      </c>
      <c r="AO10" s="112">
        <v>196.97</v>
      </c>
      <c r="AP10" s="112">
        <v>272.87</v>
      </c>
      <c r="AQ10" s="112">
        <v>181.75</v>
      </c>
      <c r="AR10" s="142">
        <f t="shared" si="20"/>
        <v>-0.353388625592417</v>
      </c>
      <c r="AS10" s="112">
        <v>279.6</v>
      </c>
      <c r="AT10" s="112">
        <v>187.86</v>
      </c>
      <c r="AU10" s="142">
        <f t="shared" si="21"/>
        <v>1.3853378687109712</v>
      </c>
      <c r="AV10" s="142">
        <f aca="true" t="shared" si="39" ref="AV10:AV13">AQ10/AP10-1</f>
        <v>-0.33393190896764025</v>
      </c>
      <c r="AW10" s="151">
        <f t="shared" si="14"/>
        <v>0.47038327526132406</v>
      </c>
      <c r="AX10" s="151">
        <f t="shared" si="15"/>
        <v>1.1561643835616437</v>
      </c>
      <c r="AY10" s="151">
        <f t="shared" si="16"/>
        <v>-0.5332464454976303</v>
      </c>
      <c r="AZ10" s="151">
        <f t="shared" si="17"/>
        <v>0.4947916666666667</v>
      </c>
      <c r="BA10" s="151">
        <f t="shared" si="18"/>
        <v>2.8415841584158414</v>
      </c>
      <c r="BB10" s="151">
        <f t="shared" si="19"/>
        <v>0.27177700348432055</v>
      </c>
      <c r="BC10" s="112">
        <v>310.4</v>
      </c>
      <c r="BD10" s="112">
        <v>274.07</v>
      </c>
      <c r="BE10" s="112"/>
      <c r="BF10" s="112">
        <v>433</v>
      </c>
      <c r="BG10" s="112">
        <v>407.48</v>
      </c>
      <c r="BH10" s="112">
        <v>291</v>
      </c>
      <c r="BI10" s="163">
        <f t="shared" si="22"/>
        <v>1.6522942616842327</v>
      </c>
      <c r="BJ10" s="163">
        <f t="shared" si="26"/>
        <v>0.9410623556581986</v>
      </c>
      <c r="BK10" s="163">
        <f t="shared" si="27"/>
        <v>-0.28585452046726223</v>
      </c>
      <c r="BL10" s="162">
        <f t="shared" si="23"/>
        <v>-0.11704252577319585</v>
      </c>
    </row>
    <row r="11" spans="1:64" s="85" customFormat="1" ht="33.75" customHeight="1">
      <c r="A11" s="113" t="s">
        <v>51</v>
      </c>
      <c r="B11" s="110"/>
      <c r="C11" s="110"/>
      <c r="D11" s="111">
        <v>1019</v>
      </c>
      <c r="E11" s="111">
        <v>3262</v>
      </c>
      <c r="F11" s="111">
        <v>2242</v>
      </c>
      <c r="G11" s="111">
        <v>2359</v>
      </c>
      <c r="H11" s="112">
        <f>H10-H12</f>
        <v>407</v>
      </c>
      <c r="I11" s="112">
        <v>266</v>
      </c>
      <c r="J11" s="112">
        <v>383.82</v>
      </c>
      <c r="K11" s="112">
        <v>947.91</v>
      </c>
      <c r="L11" s="142">
        <f t="shared" si="31"/>
        <v>-0.05695331695331696</v>
      </c>
      <c r="M11" s="112">
        <v>173.61</v>
      </c>
      <c r="N11" s="112">
        <v>541.51</v>
      </c>
      <c r="O11" s="142">
        <f t="shared" si="32"/>
        <v>1.4429323308270676</v>
      </c>
      <c r="P11" s="142">
        <f t="shared" si="33"/>
        <v>1.46967328435204</v>
      </c>
      <c r="Q11" s="151">
        <f t="shared" si="4"/>
        <v>-0.8184656556645852</v>
      </c>
      <c r="R11" s="151">
        <f t="shared" si="34"/>
        <v>0.17253073336159389</v>
      </c>
      <c r="S11" s="151">
        <f t="shared" si="35"/>
        <v>-0.3464373464373464</v>
      </c>
      <c r="T11" s="151"/>
      <c r="U11" s="151"/>
      <c r="V11" s="151"/>
      <c r="W11" s="112">
        <v>321.02</v>
      </c>
      <c r="X11" s="112">
        <v>198.07</v>
      </c>
      <c r="Y11" s="112"/>
      <c r="Z11" s="112">
        <v>245.07</v>
      </c>
      <c r="AA11" s="112">
        <v>239.03</v>
      </c>
      <c r="AB11" s="112">
        <v>244.66</v>
      </c>
      <c r="AC11" s="162">
        <f t="shared" si="36"/>
        <v>0.5928237705674871</v>
      </c>
      <c r="AD11" s="163">
        <f t="shared" si="37"/>
        <v>-0.38299794405333</v>
      </c>
      <c r="AE11" s="163">
        <f t="shared" si="25"/>
        <v>0.9753539804953687</v>
      </c>
      <c r="AF11" s="163">
        <f t="shared" si="38"/>
        <v>0.02355352884575157</v>
      </c>
      <c r="AG11" s="179" t="s">
        <v>52</v>
      </c>
      <c r="AH11" s="111"/>
      <c r="AI11" s="176"/>
      <c r="AJ11" s="111">
        <v>1553</v>
      </c>
      <c r="AK11" s="111">
        <v>1600</v>
      </c>
      <c r="AL11" s="111">
        <v>1911</v>
      </c>
      <c r="AM11" s="111">
        <v>3008</v>
      </c>
      <c r="AN11" s="112">
        <v>2466</v>
      </c>
      <c r="AO11" s="112">
        <v>2571.5</v>
      </c>
      <c r="AP11" s="112">
        <v>2208.6</v>
      </c>
      <c r="AQ11" s="112">
        <v>2498.45</v>
      </c>
      <c r="AR11" s="142">
        <f t="shared" si="20"/>
        <v>-0.10437956204379562</v>
      </c>
      <c r="AS11" s="112">
        <v>1481.79</v>
      </c>
      <c r="AT11" s="112">
        <v>2277.25</v>
      </c>
      <c r="AU11" s="142">
        <f t="shared" si="21"/>
        <v>0.8588761423293797</v>
      </c>
      <c r="AV11" s="142">
        <f t="shared" si="39"/>
        <v>0.13123698270397544</v>
      </c>
      <c r="AW11" s="151">
        <f t="shared" si="14"/>
        <v>0.2904238618524333</v>
      </c>
      <c r="AX11" s="151">
        <f t="shared" si="15"/>
        <v>0.819813829787234</v>
      </c>
      <c r="AY11" s="151">
        <f t="shared" si="16"/>
        <v>0.04278183292781833</v>
      </c>
      <c r="AZ11" s="151">
        <f t="shared" si="17"/>
        <v>0.23052157115260785</v>
      </c>
      <c r="BA11" s="151">
        <f t="shared" si="18"/>
        <v>1.194375</v>
      </c>
      <c r="BB11" s="151">
        <f t="shared" si="19"/>
        <v>0.5740450026164312</v>
      </c>
      <c r="BC11" s="112">
        <v>2375.86</v>
      </c>
      <c r="BD11" s="112">
        <v>2864.05</v>
      </c>
      <c r="BE11" s="112"/>
      <c r="BF11" s="112">
        <v>2819.02</v>
      </c>
      <c r="BG11" s="112">
        <v>2530.34</v>
      </c>
      <c r="BH11" s="112">
        <v>3543.44</v>
      </c>
      <c r="BI11" s="163">
        <f t="shared" si="22"/>
        <v>1.0433022285651554</v>
      </c>
      <c r="BJ11" s="163">
        <f t="shared" si="26"/>
        <v>0.89759561833545</v>
      </c>
      <c r="BK11" s="163">
        <f t="shared" si="27"/>
        <v>0.4003809764695654</v>
      </c>
      <c r="BL11" s="162">
        <f t="shared" si="23"/>
        <v>0.20547927908210073</v>
      </c>
    </row>
    <row r="12" spans="1:64" s="85" customFormat="1" ht="33.75" customHeight="1">
      <c r="A12" s="113" t="s">
        <v>53</v>
      </c>
      <c r="B12" s="110"/>
      <c r="C12" s="110"/>
      <c r="D12" s="111">
        <v>391</v>
      </c>
      <c r="E12" s="111">
        <v>142</v>
      </c>
      <c r="F12" s="114">
        <v>0</v>
      </c>
      <c r="G12" s="111">
        <v>142</v>
      </c>
      <c r="H12" s="112">
        <v>2064</v>
      </c>
      <c r="I12" s="112">
        <v>832</v>
      </c>
      <c r="J12" s="112">
        <v>826.66</v>
      </c>
      <c r="K12" s="112">
        <v>64</v>
      </c>
      <c r="L12" s="142">
        <f t="shared" si="31"/>
        <v>-0.5994864341085271</v>
      </c>
      <c r="M12" s="112">
        <v>782.34</v>
      </c>
      <c r="N12" s="112">
        <v>648.2</v>
      </c>
      <c r="O12" s="142">
        <f t="shared" si="32"/>
        <v>0.9935817307692307</v>
      </c>
      <c r="P12" s="142">
        <f t="shared" si="33"/>
        <v>-0.9225800208066194</v>
      </c>
      <c r="Q12" s="114">
        <v>0</v>
      </c>
      <c r="R12" s="151">
        <f t="shared" si="34"/>
        <v>14.535211267605634</v>
      </c>
      <c r="S12" s="151">
        <f t="shared" si="35"/>
        <v>-0.5968992248062015</v>
      </c>
      <c r="T12" s="151">
        <f>(F11-D11)/D11</f>
        <v>1.2001962708537781</v>
      </c>
      <c r="U12" s="151">
        <f>F11/E11</f>
        <v>0.6873083997547517</v>
      </c>
      <c r="V12" s="151">
        <f>(G11-F11)/F11</f>
        <v>0.052185548617305975</v>
      </c>
      <c r="W12" s="112">
        <v>956.41</v>
      </c>
      <c r="X12" s="112">
        <v>103</v>
      </c>
      <c r="Y12" s="112"/>
      <c r="Z12" s="112">
        <v>1056</v>
      </c>
      <c r="AA12" s="112">
        <v>1031.47</v>
      </c>
      <c r="AB12" s="112">
        <v>372.99</v>
      </c>
      <c r="AC12" s="162">
        <f t="shared" si="36"/>
        <v>1.47548596112311</v>
      </c>
      <c r="AD12" s="163">
        <f t="shared" si="37"/>
        <v>-0.8923056011543167</v>
      </c>
      <c r="AE12" s="163">
        <f t="shared" si="25"/>
        <v>0.9767708333333334</v>
      </c>
      <c r="AF12" s="163">
        <f t="shared" si="38"/>
        <v>-0.6383898707669636</v>
      </c>
      <c r="AG12" s="179" t="s">
        <v>54</v>
      </c>
      <c r="AH12" s="111"/>
      <c r="AI12" s="176"/>
      <c r="AJ12" s="111">
        <v>352</v>
      </c>
      <c r="AK12" s="111">
        <v>692</v>
      </c>
      <c r="AL12" s="111">
        <v>960</v>
      </c>
      <c r="AM12" s="111">
        <v>1794</v>
      </c>
      <c r="AN12" s="112">
        <v>4990</v>
      </c>
      <c r="AO12" s="112">
        <v>5022.7</v>
      </c>
      <c r="AP12" s="112">
        <v>4967.73</v>
      </c>
      <c r="AQ12" s="112">
        <v>5489.32</v>
      </c>
      <c r="AR12" s="142">
        <f t="shared" si="20"/>
        <v>-0.004462925851703492</v>
      </c>
      <c r="AS12" s="112">
        <v>4883.39</v>
      </c>
      <c r="AT12" s="112">
        <v>5690.67</v>
      </c>
      <c r="AU12" s="142">
        <f t="shared" si="21"/>
        <v>0.9890556871802019</v>
      </c>
      <c r="AV12" s="142">
        <f t="shared" si="39"/>
        <v>0.1049956418726461</v>
      </c>
      <c r="AW12" s="114">
        <v>0</v>
      </c>
      <c r="AX12" s="114">
        <v>0</v>
      </c>
      <c r="AY12" s="114">
        <v>0</v>
      </c>
      <c r="AZ12" s="151"/>
      <c r="BA12" s="151"/>
      <c r="BB12" s="151" t="e">
        <f>(#REF!-#REF!)/#REF!</f>
        <v>#REF!</v>
      </c>
      <c r="BC12" s="112">
        <v>4232.35</v>
      </c>
      <c r="BD12" s="112">
        <v>5318.58</v>
      </c>
      <c r="BE12" s="112"/>
      <c r="BF12" s="112">
        <v>5449.91</v>
      </c>
      <c r="BG12" s="112">
        <v>5356.94</v>
      </c>
      <c r="BH12" s="112">
        <v>1472.44</v>
      </c>
      <c r="BI12" s="163">
        <f t="shared" si="22"/>
        <v>0.7437349204926661</v>
      </c>
      <c r="BJ12" s="163">
        <f t="shared" si="26"/>
        <v>0.9829410026954573</v>
      </c>
      <c r="BK12" s="163">
        <f t="shared" si="27"/>
        <v>-0.7251341250788697</v>
      </c>
      <c r="BL12" s="162">
        <f t="shared" si="23"/>
        <v>0.2566493791865039</v>
      </c>
    </row>
    <row r="13" spans="1:64" s="85" customFormat="1" ht="33.75" customHeight="1">
      <c r="A13" s="113" t="s">
        <v>55</v>
      </c>
      <c r="B13" s="110"/>
      <c r="C13" s="110"/>
      <c r="D13" s="111">
        <v>47</v>
      </c>
      <c r="E13" s="111">
        <v>54</v>
      </c>
      <c r="F13" s="111">
        <v>2299</v>
      </c>
      <c r="G13" s="111">
        <v>142</v>
      </c>
      <c r="H13" s="112">
        <v>4335</v>
      </c>
      <c r="I13" s="112">
        <v>6234</v>
      </c>
      <c r="J13" s="112">
        <v>3295.72</v>
      </c>
      <c r="K13" s="112">
        <v>3027.09</v>
      </c>
      <c r="L13" s="142">
        <f t="shared" si="31"/>
        <v>-0.2397416378316033</v>
      </c>
      <c r="M13" s="112">
        <v>1906.48</v>
      </c>
      <c r="N13" s="112">
        <v>280</v>
      </c>
      <c r="O13" s="142">
        <f t="shared" si="32"/>
        <v>0.5286685915944819</v>
      </c>
      <c r="P13" s="142">
        <f t="shared" si="33"/>
        <v>-0.08150874467491165</v>
      </c>
      <c r="Q13" s="151">
        <f>(H13-F13)/F13</f>
        <v>0.8856024358416703</v>
      </c>
      <c r="R13" s="151">
        <f t="shared" si="34"/>
        <v>30.528169014084508</v>
      </c>
      <c r="S13" s="151">
        <f t="shared" si="35"/>
        <v>0.4380622837370242</v>
      </c>
      <c r="T13" s="151"/>
      <c r="U13" s="151"/>
      <c r="V13" s="151"/>
      <c r="W13" s="112">
        <v>115.53</v>
      </c>
      <c r="X13" s="112">
        <v>520</v>
      </c>
      <c r="Y13" s="112"/>
      <c r="Z13" s="112">
        <v>144.45</v>
      </c>
      <c r="AA13" s="112">
        <v>144.45</v>
      </c>
      <c r="AB13" s="112">
        <v>3233</v>
      </c>
      <c r="AC13" s="162">
        <f t="shared" si="36"/>
        <v>0.41260714285714284</v>
      </c>
      <c r="AD13" s="163">
        <f t="shared" si="37"/>
        <v>3.5009954124469838</v>
      </c>
      <c r="AE13" s="163">
        <f t="shared" si="25"/>
        <v>1</v>
      </c>
      <c r="AF13" s="163">
        <f t="shared" si="38"/>
        <v>21.381446867428178</v>
      </c>
      <c r="AG13" s="179" t="s">
        <v>56</v>
      </c>
      <c r="AH13" s="111"/>
      <c r="AI13" s="176"/>
      <c r="AJ13" s="111">
        <v>1754</v>
      </c>
      <c r="AK13" s="111">
        <v>830</v>
      </c>
      <c r="AL13" s="111">
        <v>884</v>
      </c>
      <c r="AM13" s="111">
        <v>401</v>
      </c>
      <c r="AN13" s="112">
        <v>391</v>
      </c>
      <c r="AO13" s="112">
        <v>601.4</v>
      </c>
      <c r="AP13" s="112">
        <v>881.43</v>
      </c>
      <c r="AQ13" s="112">
        <v>1473.51</v>
      </c>
      <c r="AR13" s="142">
        <f t="shared" si="20"/>
        <v>1.2542966751918159</v>
      </c>
      <c r="AS13" s="112">
        <v>642.17</v>
      </c>
      <c r="AT13" s="112">
        <v>311.69</v>
      </c>
      <c r="AU13" s="142">
        <f t="shared" si="21"/>
        <v>1.465630196208846</v>
      </c>
      <c r="AV13" s="142">
        <f t="shared" si="39"/>
        <v>0.6717266260508492</v>
      </c>
      <c r="AW13" s="151">
        <f>(AN12-AL12)/AL12</f>
        <v>4.197916666666667</v>
      </c>
      <c r="AX13" s="151">
        <f>AN12/AM12</f>
        <v>2.78149386845039</v>
      </c>
      <c r="AY13" s="151">
        <f>(AO12-AN12)/AN12</f>
        <v>0.006553106212424813</v>
      </c>
      <c r="AZ13" s="151">
        <f>(AL12-AJ12)/AJ12</f>
        <v>1.7272727272727273</v>
      </c>
      <c r="BA13" s="151">
        <f>AL12/AK12</f>
        <v>1.3872832369942196</v>
      </c>
      <c r="BB13" s="151">
        <f>(AM12-AL12)/AL12</f>
        <v>0.86875</v>
      </c>
      <c r="BC13" s="112">
        <v>465.71</v>
      </c>
      <c r="BD13" s="112">
        <v>887.98</v>
      </c>
      <c r="BE13" s="112"/>
      <c r="BF13" s="112">
        <v>867.97</v>
      </c>
      <c r="BG13" s="112">
        <v>696.85</v>
      </c>
      <c r="BH13" s="112">
        <v>992.66</v>
      </c>
      <c r="BI13" s="163">
        <f t="shared" si="22"/>
        <v>1.4941448233822066</v>
      </c>
      <c r="BJ13" s="163">
        <f t="shared" si="26"/>
        <v>0.8028503289284192</v>
      </c>
      <c r="BK13" s="163">
        <f t="shared" si="27"/>
        <v>0.4244959460429072</v>
      </c>
      <c r="BL13" s="162">
        <f t="shared" si="23"/>
        <v>0.9067230680036935</v>
      </c>
    </row>
    <row r="14" spans="1:64" s="85" customFormat="1" ht="33.75" customHeight="1">
      <c r="A14" s="113" t="s">
        <v>57</v>
      </c>
      <c r="B14" s="110"/>
      <c r="C14" s="110"/>
      <c r="D14" s="111">
        <v>47</v>
      </c>
      <c r="E14" s="111">
        <v>1000</v>
      </c>
      <c r="F14" s="111">
        <v>85</v>
      </c>
      <c r="G14" s="111">
        <v>304</v>
      </c>
      <c r="H14" s="112">
        <v>3739</v>
      </c>
      <c r="I14" s="112">
        <v>3970.05</v>
      </c>
      <c r="J14" s="112">
        <v>4114.12</v>
      </c>
      <c r="K14" s="112">
        <v>4442.2</v>
      </c>
      <c r="L14" s="142">
        <f t="shared" si="31"/>
        <v>0.10032629045199237</v>
      </c>
      <c r="M14" s="112">
        <v>4027.45</v>
      </c>
      <c r="N14" s="112">
        <v>4605.5</v>
      </c>
      <c r="O14" s="142">
        <f t="shared" si="32"/>
        <v>1.0362892155010641</v>
      </c>
      <c r="P14" s="142">
        <f t="shared" si="33"/>
        <v>0.07974487861316626</v>
      </c>
      <c r="Q14" s="151">
        <f>(H14-F14)/F14</f>
        <v>42.98823529411764</v>
      </c>
      <c r="R14" s="151">
        <f aca="true" t="shared" si="40" ref="R14:R18">H14/G14</f>
        <v>12.299342105263158</v>
      </c>
      <c r="S14" s="151">
        <f aca="true" t="shared" si="41" ref="S14:S18">(I14-H14)/H14</f>
        <v>0.06179459748595886</v>
      </c>
      <c r="T14" s="116"/>
      <c r="U14" s="116"/>
      <c r="V14" s="116"/>
      <c r="W14" s="112">
        <v>3881.99</v>
      </c>
      <c r="X14" s="112">
        <v>5647.7</v>
      </c>
      <c r="Y14" s="112"/>
      <c r="Z14" s="112">
        <v>4047.7</v>
      </c>
      <c r="AA14" s="112">
        <v>4031.43</v>
      </c>
      <c r="AB14" s="112">
        <v>44</v>
      </c>
      <c r="AC14" s="162">
        <f t="shared" si="36"/>
        <v>0.8429030507002496</v>
      </c>
      <c r="AD14" s="163">
        <f t="shared" si="37"/>
        <v>0.454846612175714</v>
      </c>
      <c r="AE14" s="163">
        <f t="shared" si="25"/>
        <v>0.9959804333325099</v>
      </c>
      <c r="AF14" s="163">
        <f t="shared" si="38"/>
        <v>-0.9890857586513967</v>
      </c>
      <c r="AG14" s="175" t="s">
        <v>58</v>
      </c>
      <c r="AH14" s="111"/>
      <c r="AI14" s="176"/>
      <c r="AJ14" s="111">
        <v>1145</v>
      </c>
      <c r="AK14" s="111">
        <v>1189</v>
      </c>
      <c r="AL14" s="111">
        <v>1237</v>
      </c>
      <c r="AM14" s="111">
        <v>2522</v>
      </c>
      <c r="AN14" s="112">
        <v>1578</v>
      </c>
      <c r="AO14" s="112">
        <v>2267.44</v>
      </c>
      <c r="AP14" s="112">
        <v>2051.16</v>
      </c>
      <c r="AQ14" s="112">
        <v>3362.74</v>
      </c>
      <c r="AR14" s="142">
        <f aca="true" t="shared" si="42" ref="AR14:AR19">AP14/AN14-1</f>
        <v>0.299847908745247</v>
      </c>
      <c r="AS14" s="112">
        <v>3458.79</v>
      </c>
      <c r="AT14" s="112">
        <v>4226.03</v>
      </c>
      <c r="AU14" s="142">
        <f aca="true" t="shared" si="43" ref="AU14:AU19">AP14/AO14</f>
        <v>0.9046148960942736</v>
      </c>
      <c r="AV14" s="142">
        <f aca="true" t="shared" si="44" ref="AV14:AV19">AQ14/AP14-1</f>
        <v>0.6394332962811287</v>
      </c>
      <c r="AW14" s="151">
        <f>(AN13-AL13)/AL13</f>
        <v>-0.5576923076923077</v>
      </c>
      <c r="AX14" s="151">
        <f>AN13/AM13</f>
        <v>0.9750623441396509</v>
      </c>
      <c r="AY14" s="151">
        <f>(AO13-AN13)/AN13</f>
        <v>0.5381074168797954</v>
      </c>
      <c r="AZ14" s="151">
        <f>(AL13-AJ13)/AJ13</f>
        <v>-0.4960091220068415</v>
      </c>
      <c r="BA14" s="151">
        <f>AL13/AK13</f>
        <v>1.0650602409638554</v>
      </c>
      <c r="BB14" s="151">
        <f>(AM13-AL13)/AL13</f>
        <v>-0.5463800904977375</v>
      </c>
      <c r="BC14" s="112">
        <v>3119.12</v>
      </c>
      <c r="BD14" s="112">
        <v>1454.66</v>
      </c>
      <c r="BE14" s="112"/>
      <c r="BF14" s="112">
        <v>3887.11</v>
      </c>
      <c r="BG14" s="112">
        <v>3785.78</v>
      </c>
      <c r="BH14" s="112">
        <v>8858.56</v>
      </c>
      <c r="BI14" s="163">
        <f t="shared" si="22"/>
        <v>0.7380733217700773</v>
      </c>
      <c r="BJ14" s="163">
        <f t="shared" si="26"/>
        <v>0.9739317899416277</v>
      </c>
      <c r="BK14" s="163">
        <f t="shared" si="27"/>
        <v>1.339956363021623</v>
      </c>
      <c r="BL14" s="162">
        <f t="shared" si="23"/>
        <v>-0.53363128061761</v>
      </c>
    </row>
    <row r="15" spans="1:64" s="85" customFormat="1" ht="33.75" customHeight="1">
      <c r="A15" s="115"/>
      <c r="B15" s="116"/>
      <c r="C15" s="116"/>
      <c r="D15" s="116"/>
      <c r="E15" s="116"/>
      <c r="F15" s="116"/>
      <c r="G15" s="116"/>
      <c r="H15" s="117"/>
      <c r="I15" s="117"/>
      <c r="J15" s="117"/>
      <c r="K15" s="117"/>
      <c r="L15" s="141"/>
      <c r="M15" s="108"/>
      <c r="N15" s="108"/>
      <c r="O15" s="141"/>
      <c r="P15" s="141"/>
      <c r="Q15" s="151"/>
      <c r="R15" s="151"/>
      <c r="S15" s="151"/>
      <c r="T15" s="151"/>
      <c r="U15" s="151"/>
      <c r="V15" s="151"/>
      <c r="W15" s="152"/>
      <c r="X15" s="112"/>
      <c r="Y15" s="112"/>
      <c r="Z15" s="112"/>
      <c r="AA15" s="112"/>
      <c r="AB15" s="112"/>
      <c r="AC15" s="160"/>
      <c r="AD15" s="161"/>
      <c r="AE15" s="161"/>
      <c r="AF15" s="161"/>
      <c r="AG15" s="177" t="s">
        <v>59</v>
      </c>
      <c r="AH15" s="111"/>
      <c r="AI15" s="176"/>
      <c r="AJ15" s="111">
        <v>5292</v>
      </c>
      <c r="AK15" s="111">
        <v>5872</v>
      </c>
      <c r="AL15" s="111">
        <v>4254</v>
      </c>
      <c r="AM15" s="111">
        <v>7910</v>
      </c>
      <c r="AN15" s="112">
        <v>4186</v>
      </c>
      <c r="AO15" s="112">
        <v>6292.78</v>
      </c>
      <c r="AP15" s="112">
        <v>3597.79</v>
      </c>
      <c r="AQ15" s="112">
        <v>3390.43</v>
      </c>
      <c r="AR15" s="142">
        <f t="shared" si="42"/>
        <v>-0.14051839464882943</v>
      </c>
      <c r="AS15" s="112">
        <v>2409.06</v>
      </c>
      <c r="AT15" s="112">
        <v>1911.78</v>
      </c>
      <c r="AU15" s="142">
        <f t="shared" si="43"/>
        <v>0.5717330019482645</v>
      </c>
      <c r="AV15" s="142">
        <f t="shared" si="44"/>
        <v>-0.057635381720445134</v>
      </c>
      <c r="AW15" s="151" t="e">
        <f>(#REF!-#REF!)/#REF!</f>
        <v>#REF!</v>
      </c>
      <c r="AX15" s="151" t="e">
        <f>#REF!/#REF!</f>
        <v>#REF!</v>
      </c>
      <c r="AY15" s="151"/>
      <c r="AZ15" s="151" t="e">
        <f>(#REF!-#REF!)/#REF!</f>
        <v>#REF!</v>
      </c>
      <c r="BA15" s="151" t="e">
        <f>#REF!/#REF!</f>
        <v>#REF!</v>
      </c>
      <c r="BB15" s="151" t="e">
        <f>(#REF!-#REF!)/#REF!</f>
        <v>#REF!</v>
      </c>
      <c r="BC15" s="112">
        <v>2070.92</v>
      </c>
      <c r="BD15" s="112">
        <v>2057.98</v>
      </c>
      <c r="BE15" s="112"/>
      <c r="BF15" s="112">
        <v>2640.97</v>
      </c>
      <c r="BG15" s="112">
        <v>1984.7</v>
      </c>
      <c r="BH15" s="112">
        <v>3380.51</v>
      </c>
      <c r="BI15" s="163">
        <f t="shared" si="22"/>
        <v>1.0832417956040967</v>
      </c>
      <c r="BJ15" s="163">
        <f t="shared" si="26"/>
        <v>0.7515041821754886</v>
      </c>
      <c r="BK15" s="163">
        <f t="shared" si="27"/>
        <v>0.703285131254094</v>
      </c>
      <c r="BL15" s="162">
        <f t="shared" si="23"/>
        <v>-0.006248430649180126</v>
      </c>
    </row>
    <row r="16" spans="1:64" s="85" customFormat="1" ht="33.75" customHeight="1">
      <c r="A16" s="118" t="s">
        <v>60</v>
      </c>
      <c r="B16" s="107" t="e">
        <f>#REF!-#REF!</f>
        <v>#REF!</v>
      </c>
      <c r="C16" s="107" t="e">
        <f>#REF!-#REF!</f>
        <v>#REF!</v>
      </c>
      <c r="D16" s="107">
        <f aca="true" t="shared" si="45" ref="D16:G16">SUM(D17:D18)</f>
        <v>6803</v>
      </c>
      <c r="E16" s="107">
        <f t="shared" si="45"/>
        <v>3261</v>
      </c>
      <c r="F16" s="107">
        <f t="shared" si="45"/>
        <v>2461</v>
      </c>
      <c r="G16" s="107">
        <f t="shared" si="45"/>
        <v>8583</v>
      </c>
      <c r="H16" s="108">
        <f aca="true" t="shared" si="46" ref="H16:J16">H17+H18</f>
        <v>8336</v>
      </c>
      <c r="I16" s="108">
        <f t="shared" si="46"/>
        <v>10082.5933</v>
      </c>
      <c r="J16" s="108">
        <f t="shared" si="46"/>
        <v>8209.5</v>
      </c>
      <c r="K16" s="108">
        <v>13622.31</v>
      </c>
      <c r="L16" s="141">
        <f aca="true" t="shared" si="47" ref="L16:L18">J16/H16-1</f>
        <v>-0.015175143953934711</v>
      </c>
      <c r="M16" s="108">
        <v>14088.47</v>
      </c>
      <c r="N16" s="108">
        <v>13655.79</v>
      </c>
      <c r="O16" s="141">
        <f aca="true" t="shared" si="48" ref="O16:O18">J16/I16</f>
        <v>0.8142250466454894</v>
      </c>
      <c r="P16" s="141">
        <f aca="true" t="shared" si="49" ref="P16:P18">K16/J16-1</f>
        <v>0.6593349168646081</v>
      </c>
      <c r="Q16" s="151">
        <f aca="true" t="shared" si="50" ref="Q16:Q18">(H16-F16)/F16</f>
        <v>2.3872409589597723</v>
      </c>
      <c r="R16" s="151">
        <f t="shared" si="40"/>
        <v>0.9712221833857626</v>
      </c>
      <c r="S16" s="151">
        <f t="shared" si="41"/>
        <v>0.20952414827255283</v>
      </c>
      <c r="T16" s="151"/>
      <c r="U16" s="151"/>
      <c r="V16" s="151"/>
      <c r="W16" s="108">
        <f aca="true" t="shared" si="51" ref="W16:AB16">W17+W18</f>
        <v>24368.64</v>
      </c>
      <c r="X16" s="108">
        <f t="shared" si="51"/>
        <v>12146.61</v>
      </c>
      <c r="Y16" s="108">
        <f>X16-W16</f>
        <v>-12222.029999999999</v>
      </c>
      <c r="Z16" s="108">
        <f>Z17+Z18</f>
        <v>16852.59</v>
      </c>
      <c r="AA16" s="108">
        <f>AA17+AA18</f>
        <v>19038.33</v>
      </c>
      <c r="AB16" s="108">
        <f t="shared" si="51"/>
        <v>18121.4</v>
      </c>
      <c r="AC16" s="160">
        <f aca="true" t="shared" si="52" ref="AC16:AC18">W16/N16</f>
        <v>1.7844914135322818</v>
      </c>
      <c r="AD16" s="161">
        <f aca="true" t="shared" si="53" ref="AD16:AD18">X16/W16-1</f>
        <v>-0.5015474806965017</v>
      </c>
      <c r="AE16" s="161">
        <f aca="true" t="shared" si="54" ref="AE16:AE18">AA16/Z16</f>
        <v>1.1296975717085624</v>
      </c>
      <c r="AF16" s="161">
        <f aca="true" t="shared" si="55" ref="AF16:AF18">AB16/AA16-1</f>
        <v>-0.04816231255577563</v>
      </c>
      <c r="AG16" s="179" t="s">
        <v>61</v>
      </c>
      <c r="AH16" s="111"/>
      <c r="AI16" s="176"/>
      <c r="AJ16" s="111">
        <v>240</v>
      </c>
      <c r="AK16" s="111">
        <v>45</v>
      </c>
      <c r="AL16" s="111">
        <v>51</v>
      </c>
      <c r="AM16" s="111">
        <v>54</v>
      </c>
      <c r="AN16" s="112">
        <v>106</v>
      </c>
      <c r="AO16" s="112">
        <v>111.08</v>
      </c>
      <c r="AP16" s="112">
        <v>579.77</v>
      </c>
      <c r="AQ16" s="112">
        <v>253.31</v>
      </c>
      <c r="AR16" s="142">
        <f t="shared" si="42"/>
        <v>4.469528301886792</v>
      </c>
      <c r="AS16" s="112">
        <v>110.73</v>
      </c>
      <c r="AT16" s="112">
        <v>177.89</v>
      </c>
      <c r="AU16" s="142">
        <f t="shared" si="43"/>
        <v>5.219391429600288</v>
      </c>
      <c r="AV16" s="142">
        <f t="shared" si="44"/>
        <v>-0.5630853614364317</v>
      </c>
      <c r="AW16" s="151" t="e">
        <f>(#REF!-#REF!)/#REF!</f>
        <v>#REF!</v>
      </c>
      <c r="AX16" s="151" t="e">
        <f>#REF!/#REF!</f>
        <v>#REF!</v>
      </c>
      <c r="AY16" s="151" t="e">
        <f>(#REF!-#REF!)/#REF!</f>
        <v>#REF!</v>
      </c>
      <c r="AZ16" s="151" t="e">
        <f>(#REF!-#REF!)/#REF!</f>
        <v>#REF!</v>
      </c>
      <c r="BA16" s="151" t="e">
        <f>#REF!/#REF!</f>
        <v>#REF!</v>
      </c>
      <c r="BB16" s="151" t="e">
        <f>(#REF!-#REF!)/#REF!</f>
        <v>#REF!</v>
      </c>
      <c r="BC16" s="112">
        <v>1773.94</v>
      </c>
      <c r="BD16" s="112">
        <v>6239.28</v>
      </c>
      <c r="BE16" s="112"/>
      <c r="BF16" s="112">
        <v>5900.13</v>
      </c>
      <c r="BG16" s="112">
        <v>5234.63</v>
      </c>
      <c r="BH16" s="112">
        <v>1533.79</v>
      </c>
      <c r="BI16" s="163">
        <f t="shared" si="22"/>
        <v>9.972117600764518</v>
      </c>
      <c r="BJ16" s="163">
        <f t="shared" si="26"/>
        <v>0.8872058751247854</v>
      </c>
      <c r="BK16" s="163">
        <f t="shared" si="27"/>
        <v>-0.7069917071502666</v>
      </c>
      <c r="BL16" s="162">
        <f t="shared" si="23"/>
        <v>2.51718772901</v>
      </c>
    </row>
    <row r="17" spans="1:64" s="85" customFormat="1" ht="33.75" customHeight="1">
      <c r="A17" s="119" t="s">
        <v>62</v>
      </c>
      <c r="B17" s="110"/>
      <c r="C17" s="110"/>
      <c r="D17" s="111">
        <v>534</v>
      </c>
      <c r="E17" s="111">
        <v>100</v>
      </c>
      <c r="F17" s="111">
        <v>100</v>
      </c>
      <c r="G17" s="111">
        <v>4000</v>
      </c>
      <c r="H17" s="112">
        <v>4246</v>
      </c>
      <c r="I17" s="112">
        <v>3800</v>
      </c>
      <c r="J17" s="112">
        <v>3736</v>
      </c>
      <c r="K17" s="112">
        <v>5510</v>
      </c>
      <c r="L17" s="142">
        <f t="shared" si="47"/>
        <v>-0.1201130475741875</v>
      </c>
      <c r="M17" s="112">
        <v>6151.32</v>
      </c>
      <c r="N17" s="112">
        <v>8307.43</v>
      </c>
      <c r="O17" s="142">
        <f t="shared" si="48"/>
        <v>0.9831578947368421</v>
      </c>
      <c r="P17" s="142">
        <f t="shared" si="49"/>
        <v>0.47483940042826545</v>
      </c>
      <c r="Q17" s="151">
        <f t="shared" si="50"/>
        <v>41.46</v>
      </c>
      <c r="R17" s="151">
        <f t="shared" si="40"/>
        <v>1.0615</v>
      </c>
      <c r="S17" s="151">
        <f t="shared" si="41"/>
        <v>-0.10504003768252473</v>
      </c>
      <c r="T17" s="151">
        <f aca="true" t="shared" si="56" ref="T17:T19">(F16-D16)/D16</f>
        <v>-0.6382478318388946</v>
      </c>
      <c r="U17" s="151">
        <f aca="true" t="shared" si="57" ref="U17:U19">F16/E16</f>
        <v>0.7546764796074824</v>
      </c>
      <c r="V17" s="151">
        <f aca="true" t="shared" si="58" ref="V17:V19">(G16-F16)/F16</f>
        <v>2.4876066639577408</v>
      </c>
      <c r="W17" s="112">
        <v>7587.8</v>
      </c>
      <c r="X17" s="112">
        <v>8820.94</v>
      </c>
      <c r="Y17" s="112"/>
      <c r="Z17" s="112">
        <v>10526.92</v>
      </c>
      <c r="AA17" s="112">
        <v>10526.92</v>
      </c>
      <c r="AB17" s="112">
        <v>12019.65</v>
      </c>
      <c r="AC17" s="162">
        <f t="shared" si="52"/>
        <v>0.9133751352704748</v>
      </c>
      <c r="AD17" s="163">
        <f t="shared" si="53"/>
        <v>0.16251614433696204</v>
      </c>
      <c r="AE17" s="163">
        <f t="shared" si="54"/>
        <v>1</v>
      </c>
      <c r="AF17" s="163">
        <f t="shared" si="55"/>
        <v>0.14180121061051087</v>
      </c>
      <c r="AG17" s="179" t="s">
        <v>63</v>
      </c>
      <c r="AH17" s="111"/>
      <c r="AI17" s="176"/>
      <c r="AJ17" s="111">
        <v>60</v>
      </c>
      <c r="AK17" s="111">
        <v>63</v>
      </c>
      <c r="AL17" s="111">
        <v>76</v>
      </c>
      <c r="AM17" s="111">
        <v>61</v>
      </c>
      <c r="AN17" s="112">
        <v>225</v>
      </c>
      <c r="AO17" s="112">
        <v>271.96</v>
      </c>
      <c r="AP17" s="112">
        <v>204.47</v>
      </c>
      <c r="AQ17" s="112">
        <v>258.65</v>
      </c>
      <c r="AR17" s="142">
        <f t="shared" si="42"/>
        <v>-0.09124444444444446</v>
      </c>
      <c r="AS17" s="112">
        <v>214.6</v>
      </c>
      <c r="AT17" s="112">
        <v>72.72</v>
      </c>
      <c r="AU17" s="142">
        <f t="shared" si="43"/>
        <v>0.7518385056625975</v>
      </c>
      <c r="AV17" s="142">
        <f t="shared" si="44"/>
        <v>0.2649777473467989</v>
      </c>
      <c r="AW17" s="151" t="e">
        <f>(#REF!-#REF!)/#REF!</f>
        <v>#REF!</v>
      </c>
      <c r="AX17" s="151" t="e">
        <f>#REF!/#REF!</f>
        <v>#REF!</v>
      </c>
      <c r="AY17" s="151" t="e">
        <f>(#REF!-#REF!)/#REF!</f>
        <v>#REF!</v>
      </c>
      <c r="AZ17" s="151" t="e">
        <f>(#REF!-#REF!)/#REF!</f>
        <v>#REF!</v>
      </c>
      <c r="BA17" s="151" t="e">
        <f>#REF!/#REF!</f>
        <v>#REF!</v>
      </c>
      <c r="BB17" s="151" t="e">
        <f>(#REF!-#REF!)/#REF!</f>
        <v>#REF!</v>
      </c>
      <c r="BC17" s="112">
        <v>37.89</v>
      </c>
      <c r="BD17" s="112">
        <v>5035.61</v>
      </c>
      <c r="BE17" s="112"/>
      <c r="BF17" s="112">
        <v>183.61</v>
      </c>
      <c r="BG17" s="112">
        <v>168.67</v>
      </c>
      <c r="BH17" s="112">
        <v>4930.5</v>
      </c>
      <c r="BI17" s="163">
        <f t="shared" si="22"/>
        <v>0.5210396039603961</v>
      </c>
      <c r="BJ17" s="163">
        <f t="shared" si="26"/>
        <v>0.9186318827950546</v>
      </c>
      <c r="BK17" s="163">
        <f t="shared" si="27"/>
        <v>28.231635738424146</v>
      </c>
      <c r="BL17" s="162">
        <f t="shared" si="23"/>
        <v>131.90076537344945</v>
      </c>
    </row>
    <row r="18" spans="1:64" s="85" customFormat="1" ht="33.75" customHeight="1">
      <c r="A18" s="119" t="s">
        <v>64</v>
      </c>
      <c r="B18" s="110"/>
      <c r="C18" s="110"/>
      <c r="D18" s="111">
        <v>6269</v>
      </c>
      <c r="E18" s="111">
        <v>3161</v>
      </c>
      <c r="F18" s="111">
        <v>2361</v>
      </c>
      <c r="G18" s="111">
        <v>4583</v>
      </c>
      <c r="H18" s="112">
        <v>4090</v>
      </c>
      <c r="I18" s="112">
        <f>51218933/10000+137+100+169+213.6+241.1+300</f>
        <v>6282.5933</v>
      </c>
      <c r="J18" s="112">
        <v>4473.5</v>
      </c>
      <c r="K18" s="112">
        <v>8112.31</v>
      </c>
      <c r="L18" s="142">
        <f t="shared" si="47"/>
        <v>0.09376528117359406</v>
      </c>
      <c r="M18" s="112">
        <v>7937.15</v>
      </c>
      <c r="N18" s="112">
        <v>5348.36</v>
      </c>
      <c r="O18" s="142">
        <f t="shared" si="48"/>
        <v>0.7120467275830189</v>
      </c>
      <c r="P18" s="142">
        <f t="shared" si="49"/>
        <v>0.8134145523639209</v>
      </c>
      <c r="Q18" s="151">
        <f t="shared" si="50"/>
        <v>0.7323168149089369</v>
      </c>
      <c r="R18" s="151">
        <f t="shared" si="40"/>
        <v>0.8924285402574733</v>
      </c>
      <c r="S18" s="151">
        <f t="shared" si="41"/>
        <v>0.5360863814180931</v>
      </c>
      <c r="T18" s="151">
        <f t="shared" si="56"/>
        <v>-0.8127340823970037</v>
      </c>
      <c r="U18" s="151">
        <f t="shared" si="57"/>
        <v>1</v>
      </c>
      <c r="V18" s="151">
        <f t="shared" si="58"/>
        <v>39</v>
      </c>
      <c r="W18" s="112">
        <v>16780.84</v>
      </c>
      <c r="X18" s="112">
        <v>3325.67</v>
      </c>
      <c r="Y18" s="112"/>
      <c r="Z18" s="112">
        <v>6325.67</v>
      </c>
      <c r="AA18" s="112">
        <v>8511.41</v>
      </c>
      <c r="AB18" s="112">
        <v>6101.75</v>
      </c>
      <c r="AC18" s="162">
        <f t="shared" si="52"/>
        <v>3.137567403839682</v>
      </c>
      <c r="AD18" s="163">
        <f t="shared" si="53"/>
        <v>-0.8018174298783612</v>
      </c>
      <c r="AE18" s="163">
        <f t="shared" si="54"/>
        <v>1.3455349393819152</v>
      </c>
      <c r="AF18" s="163">
        <f t="shared" si="55"/>
        <v>-0.283109379057054</v>
      </c>
      <c r="AG18" s="179" t="s">
        <v>65</v>
      </c>
      <c r="AH18" s="111"/>
      <c r="AI18" s="176"/>
      <c r="AJ18" s="111">
        <v>52</v>
      </c>
      <c r="AK18" s="111">
        <v>101</v>
      </c>
      <c r="AL18" s="111">
        <v>113</v>
      </c>
      <c r="AM18" s="111">
        <v>127</v>
      </c>
      <c r="AN18" s="112">
        <v>282</v>
      </c>
      <c r="AO18" s="112">
        <v>16.09</v>
      </c>
      <c r="AP18" s="112">
        <v>100.24</v>
      </c>
      <c r="AQ18" s="112">
        <v>6.33</v>
      </c>
      <c r="AR18" s="142">
        <f t="shared" si="42"/>
        <v>-0.6445390070921986</v>
      </c>
      <c r="AS18" s="112">
        <v>456.31</v>
      </c>
      <c r="AT18" s="112">
        <v>6.6</v>
      </c>
      <c r="AU18" s="112">
        <f t="shared" si="43"/>
        <v>6.229956494717215</v>
      </c>
      <c r="AV18" s="112">
        <f t="shared" si="44"/>
        <v>-0.9368515562649641</v>
      </c>
      <c r="AW18" s="112">
        <f>(AN16-AL16)/AL16</f>
        <v>1.0784313725490196</v>
      </c>
      <c r="AX18" s="112">
        <f>AN16/AM16</f>
        <v>1.962962962962963</v>
      </c>
      <c r="AY18" s="112">
        <f>(AO16-AN16)/AN16</f>
        <v>0.047924528301886773</v>
      </c>
      <c r="AZ18" s="112">
        <f>(AL16-AJ16)/AJ16</f>
        <v>-0.7875</v>
      </c>
      <c r="BA18" s="112">
        <f>AL16/AK16</f>
        <v>1.1333333333333333</v>
      </c>
      <c r="BB18" s="112">
        <f>(AM16-AL16)/AL16</f>
        <v>0.058823529411764705</v>
      </c>
      <c r="BC18" s="112">
        <v>8.52</v>
      </c>
      <c r="BD18" s="112">
        <v>44.35</v>
      </c>
      <c r="BE18" s="112"/>
      <c r="BF18" s="112">
        <v>53.1</v>
      </c>
      <c r="BG18" s="112">
        <v>44.49</v>
      </c>
      <c r="BH18" s="112">
        <v>10</v>
      </c>
      <c r="BI18" s="163">
        <f t="shared" si="22"/>
        <v>1.290909090909091</v>
      </c>
      <c r="BJ18" s="163">
        <f t="shared" si="26"/>
        <v>0.8378531073446328</v>
      </c>
      <c r="BK18" s="163">
        <f t="shared" si="27"/>
        <v>-0.7752303888514274</v>
      </c>
      <c r="BL18" s="162">
        <f t="shared" si="23"/>
        <v>4.205399061032864</v>
      </c>
    </row>
    <row r="19" spans="1:64" s="85" customFormat="1" ht="33.75" customHeight="1">
      <c r="A19" s="120"/>
      <c r="B19" s="116"/>
      <c r="C19" s="116"/>
      <c r="D19" s="116"/>
      <c r="E19" s="116"/>
      <c r="F19" s="116"/>
      <c r="G19" s="116"/>
      <c r="H19" s="117"/>
      <c r="I19" s="117"/>
      <c r="J19" s="117"/>
      <c r="K19" s="117"/>
      <c r="L19" s="142"/>
      <c r="M19" s="112"/>
      <c r="N19" s="112"/>
      <c r="O19" s="142"/>
      <c r="P19" s="142"/>
      <c r="Q19" s="151"/>
      <c r="R19" s="151"/>
      <c r="S19" s="151"/>
      <c r="T19" s="151">
        <f t="shared" si="56"/>
        <v>-0.6233849098739831</v>
      </c>
      <c r="U19" s="151">
        <f t="shared" si="57"/>
        <v>0.7469155330591585</v>
      </c>
      <c r="V19" s="151">
        <f t="shared" si="58"/>
        <v>0.941126641253706</v>
      </c>
      <c r="W19" s="152"/>
      <c r="X19" s="152"/>
      <c r="Y19" s="152"/>
      <c r="Z19" s="152"/>
      <c r="AA19" s="152"/>
      <c r="AB19" s="152"/>
      <c r="AC19" s="160"/>
      <c r="AD19" s="161"/>
      <c r="AE19" s="161"/>
      <c r="AF19" s="161"/>
      <c r="AG19" s="175" t="s">
        <v>66</v>
      </c>
      <c r="AH19" s="111"/>
      <c r="AI19" s="176"/>
      <c r="AJ19" s="111">
        <v>112</v>
      </c>
      <c r="AK19" s="111">
        <v>101</v>
      </c>
      <c r="AL19" s="111">
        <v>240</v>
      </c>
      <c r="AM19" s="111">
        <v>163</v>
      </c>
      <c r="AN19" s="112">
        <v>150</v>
      </c>
      <c r="AO19" s="112">
        <v>393.65</v>
      </c>
      <c r="AP19" s="112">
        <v>215.37</v>
      </c>
      <c r="AQ19" s="112">
        <v>351.3</v>
      </c>
      <c r="AR19" s="142">
        <f t="shared" si="42"/>
        <v>0.43579999999999997</v>
      </c>
      <c r="AS19" s="112">
        <v>186.36</v>
      </c>
      <c r="AT19" s="112">
        <v>446.24</v>
      </c>
      <c r="AU19" s="112">
        <f t="shared" si="43"/>
        <v>0.5471103772386638</v>
      </c>
      <c r="AV19" s="112">
        <f t="shared" si="44"/>
        <v>0.6311463992199471</v>
      </c>
      <c r="AW19" s="112">
        <f>(AN17-AL17)/AL17</f>
        <v>1.9605263157894737</v>
      </c>
      <c r="AX19" s="112">
        <f>AN17/AM17</f>
        <v>3.6885245901639343</v>
      </c>
      <c r="AY19" s="112">
        <f>(AO17-AN17)/AN17</f>
        <v>0.20871111111111101</v>
      </c>
      <c r="AZ19" s="112">
        <f>(AL17-AJ17)/AJ17</f>
        <v>0.26666666666666666</v>
      </c>
      <c r="BA19" s="112">
        <f>AL17/AK17</f>
        <v>1.2063492063492063</v>
      </c>
      <c r="BB19" s="112">
        <f>(AM17-AL17)/AL17</f>
        <v>-0.19736842105263158</v>
      </c>
      <c r="BC19" s="112">
        <v>153.11</v>
      </c>
      <c r="BD19" s="112">
        <v>888.41</v>
      </c>
      <c r="BE19" s="112"/>
      <c r="BF19" s="112">
        <v>916.81</v>
      </c>
      <c r="BG19" s="112">
        <v>496.12</v>
      </c>
      <c r="BH19" s="112">
        <v>171.85</v>
      </c>
      <c r="BI19" s="163">
        <f t="shared" si="22"/>
        <v>0.3431113302258874</v>
      </c>
      <c r="BJ19" s="163">
        <f t="shared" si="26"/>
        <v>0.541137204000829</v>
      </c>
      <c r="BK19" s="163">
        <f t="shared" si="27"/>
        <v>-0.6536120293477385</v>
      </c>
      <c r="BL19" s="162">
        <f t="shared" si="23"/>
        <v>4.802429625759257</v>
      </c>
    </row>
    <row r="20" spans="1:64" s="85" customFormat="1" ht="33.75" customHeight="1">
      <c r="A20" s="121" t="s">
        <v>67</v>
      </c>
      <c r="B20" s="122" t="e">
        <f>B21+B22+#REF!+#REF!</f>
        <v>#REF!</v>
      </c>
      <c r="C20" s="122" t="e">
        <f>C21+C22+#REF!+#REF!</f>
        <v>#REF!</v>
      </c>
      <c r="D20" s="122">
        <f aca="true" t="shared" si="59" ref="D20:J20">D21+D22</f>
        <v>8885</v>
      </c>
      <c r="E20" s="122">
        <f t="shared" si="59"/>
        <v>34143</v>
      </c>
      <c r="F20" s="122">
        <f t="shared" si="59"/>
        <v>33481</v>
      </c>
      <c r="G20" s="122">
        <f t="shared" si="59"/>
        <v>20299</v>
      </c>
      <c r="H20" s="108">
        <f t="shared" si="59"/>
        <v>3247</v>
      </c>
      <c r="I20" s="108">
        <f t="shared" si="59"/>
        <v>11164.7276</v>
      </c>
      <c r="J20" s="108">
        <f t="shared" si="59"/>
        <v>3404.62</v>
      </c>
      <c r="K20" s="108">
        <v>8380</v>
      </c>
      <c r="L20" s="141">
        <f aca="true" t="shared" si="60" ref="L20:L22">J20/H20-1</f>
        <v>0.048543270711425945</v>
      </c>
      <c r="M20" s="108">
        <v>2476.42</v>
      </c>
      <c r="N20" s="108">
        <v>5143</v>
      </c>
      <c r="O20" s="141">
        <f aca="true" t="shared" si="61" ref="O20:O22">J20/I20</f>
        <v>0.30494429617790225</v>
      </c>
      <c r="P20" s="141">
        <f aca="true" t="shared" si="62" ref="P20:P22">K20/J20-1</f>
        <v>1.4613613266678809</v>
      </c>
      <c r="Q20" s="151">
        <f aca="true" t="shared" si="63" ref="Q20:Q22">(H20-F20)/F20</f>
        <v>-0.9030196230698008</v>
      </c>
      <c r="R20" s="151">
        <f>H20/G20</f>
        <v>0.1599586186511651</v>
      </c>
      <c r="S20" s="151">
        <f aca="true" t="shared" si="64" ref="S20:S22">(I20-H20)/H20</f>
        <v>2.4384747767169697</v>
      </c>
      <c r="T20" s="151"/>
      <c r="U20" s="151"/>
      <c r="V20" s="151"/>
      <c r="W20" s="108">
        <f aca="true" t="shared" si="65" ref="W20:AB20">W21+W22</f>
        <v>3342.66</v>
      </c>
      <c r="X20" s="108">
        <f t="shared" si="65"/>
        <v>8377.65</v>
      </c>
      <c r="Y20" s="108">
        <f>X20-W20</f>
        <v>5034.99</v>
      </c>
      <c r="Z20" s="108">
        <v>8012.21</v>
      </c>
      <c r="AA20" s="108">
        <v>8227.88</v>
      </c>
      <c r="AB20" s="108">
        <f t="shared" si="65"/>
        <v>4589.71</v>
      </c>
      <c r="AC20" s="160">
        <f>W20/N20</f>
        <v>0.6499436126774256</v>
      </c>
      <c r="AD20" s="161">
        <f aca="true" t="shared" si="66" ref="AD20:AD22">X20/W20-1</f>
        <v>1.5062824217838489</v>
      </c>
      <c r="AE20" s="161">
        <f aca="true" t="shared" si="67" ref="AE20:AE22">AA20/Z20</f>
        <v>1.0269176669108773</v>
      </c>
      <c r="AF20" s="161">
        <f aca="true" t="shared" si="68" ref="AF20:AF22">AB20/AA20-1</f>
        <v>-0.44217587033354877</v>
      </c>
      <c r="AG20" s="177" t="s">
        <v>68</v>
      </c>
      <c r="AH20" s="116"/>
      <c r="AI20" s="116"/>
      <c r="AJ20" s="114">
        <v>0</v>
      </c>
      <c r="AK20" s="111">
        <v>1170</v>
      </c>
      <c r="AL20" s="114">
        <v>0</v>
      </c>
      <c r="AM20" s="111">
        <v>1900</v>
      </c>
      <c r="AN20" s="112">
        <v>0</v>
      </c>
      <c r="AO20" s="112">
        <v>1000</v>
      </c>
      <c r="AP20" s="112">
        <v>0</v>
      </c>
      <c r="AQ20" s="112">
        <v>1000</v>
      </c>
      <c r="AR20" s="112">
        <v>0</v>
      </c>
      <c r="AS20" s="112">
        <v>22</v>
      </c>
      <c r="AT20" s="112">
        <v>760</v>
      </c>
      <c r="AU20" s="112">
        <v>0</v>
      </c>
      <c r="AV20" s="112">
        <v>0</v>
      </c>
      <c r="AW20" s="112">
        <f>(AN19-AL19)/AL19</f>
        <v>-0.375</v>
      </c>
      <c r="AX20" s="112">
        <f>AN19/AM19</f>
        <v>0.9202453987730062</v>
      </c>
      <c r="AY20" s="112">
        <f>(AO19-AN19)/AN19</f>
        <v>1.6243333333333332</v>
      </c>
      <c r="AZ20" s="112">
        <f>(AL19-AJ19)/AJ19</f>
        <v>1.1428571428571428</v>
      </c>
      <c r="BA20" s="112">
        <f>AL19/AK19</f>
        <v>2.376237623762376</v>
      </c>
      <c r="BB20" s="112">
        <f>(AM19-AL19)/AL19</f>
        <v>-0.32083333333333336</v>
      </c>
      <c r="BC20" s="112">
        <v>0</v>
      </c>
      <c r="BD20" s="112">
        <v>1200</v>
      </c>
      <c r="BE20" s="112"/>
      <c r="BF20" s="112">
        <v>0</v>
      </c>
      <c r="BG20" s="112">
        <v>0</v>
      </c>
      <c r="BH20" s="112">
        <v>1000</v>
      </c>
      <c r="BI20" s="163">
        <f t="shared" si="22"/>
        <v>0</v>
      </c>
      <c r="BJ20" s="112">
        <v>0</v>
      </c>
      <c r="BK20" s="112">
        <v>0</v>
      </c>
      <c r="BL20" s="112">
        <v>0</v>
      </c>
    </row>
    <row r="21" spans="1:64" s="85" customFormat="1" ht="33.75" customHeight="1">
      <c r="A21" s="113" t="s">
        <v>69</v>
      </c>
      <c r="B21" s="110"/>
      <c r="C21" s="110"/>
      <c r="D21" s="111">
        <v>7949</v>
      </c>
      <c r="E21" s="111">
        <v>34143</v>
      </c>
      <c r="F21" s="111">
        <v>32804</v>
      </c>
      <c r="G21" s="111">
        <v>20299</v>
      </c>
      <c r="H21" s="112">
        <v>2504</v>
      </c>
      <c r="I21" s="112">
        <f>105051572/10000+27</f>
        <v>10532.1572</v>
      </c>
      <c r="J21" s="112">
        <v>2928.12</v>
      </c>
      <c r="K21" s="112">
        <v>8280</v>
      </c>
      <c r="L21" s="142">
        <f t="shared" si="60"/>
        <v>0.16937699680511176</v>
      </c>
      <c r="M21" s="112">
        <v>608.32</v>
      </c>
      <c r="N21" s="112">
        <v>5143</v>
      </c>
      <c r="O21" s="142">
        <f t="shared" si="61"/>
        <v>0.2780171188481691</v>
      </c>
      <c r="P21" s="142">
        <f t="shared" si="62"/>
        <v>1.8277529609442236</v>
      </c>
      <c r="Q21" s="151">
        <f t="shared" si="63"/>
        <v>-0.9236678453847091</v>
      </c>
      <c r="R21" s="151">
        <f>H21/G21</f>
        <v>0.12335583033646978</v>
      </c>
      <c r="S21" s="151">
        <f t="shared" si="64"/>
        <v>3.206133067092652</v>
      </c>
      <c r="T21" s="151">
        <f>(F20-D20)/D20</f>
        <v>2.768261114237479</v>
      </c>
      <c r="U21" s="151">
        <f>F20/E20</f>
        <v>0.9806109597867791</v>
      </c>
      <c r="V21" s="151">
        <f>(G20-F20)/F20</f>
        <v>-0.39371583883396555</v>
      </c>
      <c r="W21" s="112">
        <v>1865.78</v>
      </c>
      <c r="X21" s="112">
        <v>8260</v>
      </c>
      <c r="Y21" s="112"/>
      <c r="Z21" s="112">
        <v>7746.49</v>
      </c>
      <c r="AA21" s="112">
        <v>7962.16</v>
      </c>
      <c r="AB21" s="112">
        <v>4500</v>
      </c>
      <c r="AC21" s="162">
        <f>W21/N21</f>
        <v>0.3627804783200467</v>
      </c>
      <c r="AD21" s="163">
        <f t="shared" si="66"/>
        <v>3.4271028738650857</v>
      </c>
      <c r="AE21" s="163">
        <f t="shared" si="67"/>
        <v>1.0278409963738415</v>
      </c>
      <c r="AF21" s="163">
        <f t="shared" si="68"/>
        <v>-0.43482673043495734</v>
      </c>
      <c r="AG21" s="178" t="s">
        <v>70</v>
      </c>
      <c r="AH21" s="111"/>
      <c r="AI21" s="176"/>
      <c r="AJ21" s="114">
        <v>0</v>
      </c>
      <c r="AK21" s="114">
        <v>0</v>
      </c>
      <c r="AL21" s="111">
        <v>200</v>
      </c>
      <c r="AM21" s="111">
        <v>50</v>
      </c>
      <c r="AN21" s="112">
        <v>11</v>
      </c>
      <c r="AO21" s="112">
        <v>11.4</v>
      </c>
      <c r="AP21" s="112">
        <v>0.68</v>
      </c>
      <c r="AQ21" s="112">
        <v>3.94</v>
      </c>
      <c r="AR21" s="142">
        <f aca="true" t="shared" si="69" ref="AR21:AR29">AP21/AN21-1</f>
        <v>-0.9381818181818182</v>
      </c>
      <c r="AS21" s="112">
        <v>400.78</v>
      </c>
      <c r="AT21" s="112">
        <v>2.66</v>
      </c>
      <c r="AU21" s="112">
        <f aca="true" t="shared" si="70" ref="AU21:AU29">AP21/AO21</f>
        <v>0.05964912280701755</v>
      </c>
      <c r="AV21" s="112">
        <f aca="true" t="shared" si="71" ref="AV21:AV26">AQ21/AP21-1</f>
        <v>4.794117647058823</v>
      </c>
      <c r="AW21" s="112">
        <v>0</v>
      </c>
      <c r="AX21" s="112" t="e">
        <f>0/#REF!</f>
        <v>#REF!</v>
      </c>
      <c r="AY21" s="112">
        <v>0</v>
      </c>
      <c r="AZ21" s="112" t="e">
        <f>0/#REF!</f>
        <v>#REF!</v>
      </c>
      <c r="BA21" s="112" t="e">
        <f>0/AW21</f>
        <v>#DIV/0!</v>
      </c>
      <c r="BB21" s="112" t="e">
        <f>0/AX21</f>
        <v>#REF!</v>
      </c>
      <c r="BC21" s="112">
        <v>1.55</v>
      </c>
      <c r="BD21" s="112">
        <v>2.41</v>
      </c>
      <c r="BE21" s="112"/>
      <c r="BF21" s="112">
        <v>2.41</v>
      </c>
      <c r="BG21" s="112">
        <v>1.19</v>
      </c>
      <c r="BH21" s="112">
        <v>2.56</v>
      </c>
      <c r="BI21" s="163">
        <f t="shared" si="22"/>
        <v>0.5827067669172932</v>
      </c>
      <c r="BJ21" s="163">
        <f t="shared" si="26"/>
        <v>0.4937759336099585</v>
      </c>
      <c r="BK21" s="163">
        <f>BH21/BG21-1</f>
        <v>1.151260504201681</v>
      </c>
      <c r="BL21" s="162">
        <f t="shared" si="23"/>
        <v>0.5548387096774194</v>
      </c>
    </row>
    <row r="22" spans="1:64" s="85" customFormat="1" ht="33.75" customHeight="1">
      <c r="A22" s="113" t="s">
        <v>71</v>
      </c>
      <c r="B22" s="110"/>
      <c r="C22" s="110"/>
      <c r="D22" s="111">
        <v>936</v>
      </c>
      <c r="E22" s="114">
        <v>0</v>
      </c>
      <c r="F22" s="111">
        <v>677</v>
      </c>
      <c r="G22" s="114">
        <v>0</v>
      </c>
      <c r="H22" s="112">
        <v>743</v>
      </c>
      <c r="I22" s="112">
        <f>6325704/10000</f>
        <v>632.5704</v>
      </c>
      <c r="J22" s="112">
        <v>476.5</v>
      </c>
      <c r="K22" s="112">
        <v>100</v>
      </c>
      <c r="L22" s="142">
        <f t="shared" si="60"/>
        <v>-0.3586810228802153</v>
      </c>
      <c r="M22" s="112">
        <v>1868.1</v>
      </c>
      <c r="N22" s="112">
        <v>0</v>
      </c>
      <c r="O22" s="142">
        <f t="shared" si="61"/>
        <v>0.7532758409182599</v>
      </c>
      <c r="P22" s="142">
        <f t="shared" si="62"/>
        <v>-0.7901364113326338</v>
      </c>
      <c r="Q22" s="151">
        <f t="shared" si="63"/>
        <v>0.09748892171344166</v>
      </c>
      <c r="R22" s="114">
        <v>0</v>
      </c>
      <c r="S22" s="151">
        <f t="shared" si="64"/>
        <v>-0.1486266487213998</v>
      </c>
      <c r="T22" s="151">
        <f>(F21-D21)/D21</f>
        <v>3.1268084035727766</v>
      </c>
      <c r="U22" s="151">
        <f>F21/E21</f>
        <v>0.9607825908678206</v>
      </c>
      <c r="V22" s="151">
        <f>(G21-F21)/F21</f>
        <v>-0.3812035117668577</v>
      </c>
      <c r="W22" s="112">
        <v>1476.88</v>
      </c>
      <c r="X22" s="112">
        <v>117.65</v>
      </c>
      <c r="Y22" s="112"/>
      <c r="Z22" s="112">
        <v>265.72</v>
      </c>
      <c r="AA22" s="112">
        <v>265.72</v>
      </c>
      <c r="AB22" s="112">
        <v>89.71</v>
      </c>
      <c r="AC22" s="112">
        <v>0</v>
      </c>
      <c r="AD22" s="163">
        <f t="shared" si="66"/>
        <v>-0.9203388223823195</v>
      </c>
      <c r="AE22" s="163">
        <f t="shared" si="67"/>
        <v>1</v>
      </c>
      <c r="AF22" s="163">
        <f t="shared" si="68"/>
        <v>-0.6623889808821316</v>
      </c>
      <c r="AG22" s="178" t="s">
        <v>72</v>
      </c>
      <c r="AH22" s="111"/>
      <c r="AI22" s="176"/>
      <c r="AJ22" s="114">
        <v>0</v>
      </c>
      <c r="AK22" s="114">
        <v>0</v>
      </c>
      <c r="AL22" s="114">
        <v>0</v>
      </c>
      <c r="AM22" s="111">
        <v>2</v>
      </c>
      <c r="AN22" s="112">
        <v>307</v>
      </c>
      <c r="AO22" s="112">
        <v>1061.31</v>
      </c>
      <c r="AP22" s="112">
        <v>341.5</v>
      </c>
      <c r="AQ22" s="112">
        <v>1688.91</v>
      </c>
      <c r="AR22" s="142">
        <f t="shared" si="69"/>
        <v>0.1123778501628665</v>
      </c>
      <c r="AS22" s="112">
        <v>303.03</v>
      </c>
      <c r="AT22" s="112">
        <v>1323.16</v>
      </c>
      <c r="AU22" s="112">
        <f t="shared" si="70"/>
        <v>0.3217721495133373</v>
      </c>
      <c r="AV22" s="112">
        <f t="shared" si="71"/>
        <v>3.9455636896046853</v>
      </c>
      <c r="AW22" s="112">
        <v>0</v>
      </c>
      <c r="AX22" s="112">
        <f>0/AM20</f>
        <v>0</v>
      </c>
      <c r="AY22" s="112">
        <v>0</v>
      </c>
      <c r="AZ22" s="112">
        <f>0/AO20</f>
        <v>0</v>
      </c>
      <c r="BA22" s="112" t="e">
        <f>0/AW22</f>
        <v>#DIV/0!</v>
      </c>
      <c r="BB22" s="112" t="e">
        <f>0/AX22</f>
        <v>#DIV/0!</v>
      </c>
      <c r="BC22" s="112">
        <v>423.28</v>
      </c>
      <c r="BD22" s="112">
        <v>434.09</v>
      </c>
      <c r="BE22" s="112"/>
      <c r="BF22" s="112">
        <v>416.03</v>
      </c>
      <c r="BG22" s="112">
        <v>365.66</v>
      </c>
      <c r="BH22" s="112">
        <v>414.11</v>
      </c>
      <c r="BI22" s="163">
        <f t="shared" si="22"/>
        <v>0.31990084343541214</v>
      </c>
      <c r="BJ22" s="163">
        <f t="shared" si="26"/>
        <v>0.8789270004566979</v>
      </c>
      <c r="BK22" s="163">
        <f t="shared" si="27"/>
        <v>0.13250013673904726</v>
      </c>
      <c r="BL22" s="162">
        <f t="shared" si="23"/>
        <v>0.025538650538650565</v>
      </c>
    </row>
    <row r="23" spans="1:64" s="85" customFormat="1" ht="33.75" customHeight="1">
      <c r="A23" s="113"/>
      <c r="B23" s="110"/>
      <c r="C23" s="110"/>
      <c r="D23" s="111"/>
      <c r="E23" s="114"/>
      <c r="F23" s="111"/>
      <c r="G23" s="114"/>
      <c r="H23" s="112"/>
      <c r="I23" s="112"/>
      <c r="J23" s="112"/>
      <c r="K23" s="112"/>
      <c r="L23" s="142"/>
      <c r="M23" s="112"/>
      <c r="N23" s="112"/>
      <c r="O23" s="142"/>
      <c r="P23" s="142"/>
      <c r="Q23" s="151"/>
      <c r="R23" s="114"/>
      <c r="S23" s="151"/>
      <c r="T23" s="151"/>
      <c r="U23" s="151"/>
      <c r="V23" s="151"/>
      <c r="W23" s="112"/>
      <c r="X23" s="112"/>
      <c r="Y23" s="112"/>
      <c r="Z23" s="112"/>
      <c r="AA23" s="112"/>
      <c r="AB23" s="112"/>
      <c r="AC23" s="112"/>
      <c r="AD23" s="163"/>
      <c r="AE23" s="161"/>
      <c r="AF23" s="163"/>
      <c r="AG23" s="179" t="s">
        <v>73</v>
      </c>
      <c r="AH23" s="111"/>
      <c r="AI23" s="176"/>
      <c r="AJ23" s="114"/>
      <c r="AK23" s="114"/>
      <c r="AL23" s="114"/>
      <c r="AM23" s="111"/>
      <c r="AN23" s="112"/>
      <c r="AO23" s="112"/>
      <c r="AP23" s="112"/>
      <c r="AQ23" s="112"/>
      <c r="AR23" s="14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>
        <v>52</v>
      </c>
      <c r="BG23" s="112">
        <v>52</v>
      </c>
      <c r="BH23" s="112">
        <v>179.49</v>
      </c>
      <c r="BI23" s="163"/>
      <c r="BJ23" s="163">
        <f t="shared" si="26"/>
        <v>1</v>
      </c>
      <c r="BK23" s="163">
        <f t="shared" si="27"/>
        <v>2.4517307692307693</v>
      </c>
      <c r="BL23" s="162"/>
    </row>
    <row r="24" spans="1:64" s="85" customFormat="1" ht="33.75" customHeight="1">
      <c r="A24" s="123" t="s">
        <v>74</v>
      </c>
      <c r="B24" s="107"/>
      <c r="C24" s="107"/>
      <c r="D24" s="124"/>
      <c r="E24" s="114"/>
      <c r="F24" s="124"/>
      <c r="G24" s="114"/>
      <c r="H24" s="108"/>
      <c r="I24" s="108"/>
      <c r="J24" s="108"/>
      <c r="K24" s="108"/>
      <c r="L24" s="141"/>
      <c r="M24" s="108"/>
      <c r="N24" s="108"/>
      <c r="O24" s="141"/>
      <c r="P24" s="141"/>
      <c r="Q24" s="151"/>
      <c r="R24" s="114"/>
      <c r="S24" s="151"/>
      <c r="T24" s="151"/>
      <c r="U24" s="151"/>
      <c r="V24" s="151"/>
      <c r="W24" s="108"/>
      <c r="X24" s="108">
        <v>100</v>
      </c>
      <c r="Y24" s="108"/>
      <c r="Z24" s="108">
        <v>-1225</v>
      </c>
      <c r="AA24" s="108">
        <v>-1225</v>
      </c>
      <c r="AB24" s="108">
        <v>0</v>
      </c>
      <c r="AC24" s="108"/>
      <c r="AD24" s="161"/>
      <c r="AE24" s="161">
        <f>AA24/Z24</f>
        <v>1</v>
      </c>
      <c r="AF24" s="108">
        <v>0</v>
      </c>
      <c r="AG24" s="179" t="s">
        <v>75</v>
      </c>
      <c r="AH24" s="111"/>
      <c r="AI24" s="176"/>
      <c r="AJ24" s="111"/>
      <c r="AK24" s="111"/>
      <c r="AL24" s="111"/>
      <c r="AM24" s="111"/>
      <c r="AN24" s="112"/>
      <c r="AO24" s="112"/>
      <c r="AP24" s="112"/>
      <c r="AQ24" s="112"/>
      <c r="AR24" s="142"/>
      <c r="AS24" s="112"/>
      <c r="AT24" s="112">
        <v>0</v>
      </c>
      <c r="AU24" s="112"/>
      <c r="AV24" s="112"/>
      <c r="AW24" s="112"/>
      <c r="AX24" s="112"/>
      <c r="AY24" s="112"/>
      <c r="AZ24" s="112"/>
      <c r="BA24" s="112"/>
      <c r="BB24" s="112"/>
      <c r="BC24" s="112">
        <v>2.08</v>
      </c>
      <c r="BD24" s="112">
        <v>15</v>
      </c>
      <c r="BE24" s="112"/>
      <c r="BF24" s="112">
        <v>13.62</v>
      </c>
      <c r="BG24" s="112">
        <v>13.62</v>
      </c>
      <c r="BH24" s="112">
        <v>13.62</v>
      </c>
      <c r="BI24" s="163">
        <v>1</v>
      </c>
      <c r="BJ24" s="163">
        <f t="shared" si="26"/>
        <v>1</v>
      </c>
      <c r="BK24" s="112">
        <v>0</v>
      </c>
      <c r="BL24" s="112">
        <v>0</v>
      </c>
    </row>
    <row r="25" spans="1:64" s="85" customFormat="1" ht="33.75" customHeight="1">
      <c r="A25" s="113" t="s">
        <v>76</v>
      </c>
      <c r="B25" s="110"/>
      <c r="C25" s="110"/>
      <c r="D25" s="111"/>
      <c r="E25" s="114"/>
      <c r="F25" s="111"/>
      <c r="G25" s="114"/>
      <c r="H25" s="112"/>
      <c r="I25" s="112"/>
      <c r="J25" s="112"/>
      <c r="K25" s="112"/>
      <c r="L25" s="142"/>
      <c r="M25" s="112"/>
      <c r="N25" s="112"/>
      <c r="O25" s="142"/>
      <c r="P25" s="142"/>
      <c r="Q25" s="151"/>
      <c r="R25" s="114"/>
      <c r="S25" s="151"/>
      <c r="T25" s="151"/>
      <c r="U25" s="151"/>
      <c r="V25" s="151"/>
      <c r="W25" s="112"/>
      <c r="X25" s="112"/>
      <c r="Y25" s="112"/>
      <c r="Z25" s="108">
        <v>0</v>
      </c>
      <c r="AA25" s="108">
        <v>0</v>
      </c>
      <c r="AB25" s="112">
        <v>0</v>
      </c>
      <c r="AC25" s="112"/>
      <c r="AD25" s="163"/>
      <c r="AE25" s="108">
        <v>0</v>
      </c>
      <c r="AF25" s="108">
        <v>0</v>
      </c>
      <c r="AG25" s="178"/>
      <c r="AH25" s="111"/>
      <c r="AI25" s="176"/>
      <c r="AJ25" s="111"/>
      <c r="AK25" s="111"/>
      <c r="AL25" s="111"/>
      <c r="AM25" s="111"/>
      <c r="AN25" s="112"/>
      <c r="AO25" s="112"/>
      <c r="AP25" s="112"/>
      <c r="AQ25" s="112"/>
      <c r="AR25" s="141"/>
      <c r="AS25" s="108"/>
      <c r="AT25" s="108"/>
      <c r="AU25" s="141"/>
      <c r="AV25" s="141"/>
      <c r="AW25" s="114"/>
      <c r="AX25" s="114"/>
      <c r="AY25" s="151"/>
      <c r="AZ25" s="151"/>
      <c r="BA25" s="151"/>
      <c r="BB25" s="114"/>
      <c r="BC25" s="152"/>
      <c r="BD25" s="152"/>
      <c r="BE25" s="152"/>
      <c r="BF25" s="152"/>
      <c r="BG25" s="152"/>
      <c r="BH25" s="152"/>
      <c r="BI25" s="163"/>
      <c r="BJ25" s="163"/>
      <c r="BK25" s="163"/>
      <c r="BL25" s="112">
        <v>0</v>
      </c>
    </row>
    <row r="26" spans="1:64" s="85" customFormat="1" ht="33.75" customHeight="1">
      <c r="A26" s="113" t="s">
        <v>77</v>
      </c>
      <c r="B26" s="110"/>
      <c r="C26" s="110"/>
      <c r="D26" s="111"/>
      <c r="E26" s="114"/>
      <c r="F26" s="111"/>
      <c r="G26" s="114"/>
      <c r="H26" s="112"/>
      <c r="I26" s="112"/>
      <c r="J26" s="112"/>
      <c r="K26" s="112"/>
      <c r="L26" s="142"/>
      <c r="M26" s="112"/>
      <c r="N26" s="112"/>
      <c r="O26" s="142"/>
      <c r="P26" s="142"/>
      <c r="Q26" s="151"/>
      <c r="R26" s="114"/>
      <c r="S26" s="151"/>
      <c r="T26" s="151"/>
      <c r="U26" s="151"/>
      <c r="V26" s="151"/>
      <c r="W26" s="112"/>
      <c r="X26" s="112"/>
      <c r="Y26" s="112"/>
      <c r="Z26" s="112">
        <v>-1225</v>
      </c>
      <c r="AA26" s="112">
        <v>-1225</v>
      </c>
      <c r="AB26" s="108">
        <v>0</v>
      </c>
      <c r="AC26" s="112"/>
      <c r="AD26" s="163"/>
      <c r="AE26" s="163">
        <f>AA26/Z26</f>
        <v>1</v>
      </c>
      <c r="AF26" s="108">
        <v>0</v>
      </c>
      <c r="AG26" s="180" t="s">
        <v>78</v>
      </c>
      <c r="AH26" s="124" t="e">
        <f>#REF!-#REF!</f>
        <v>#REF!</v>
      </c>
      <c r="AI26" s="152" t="e">
        <f>#REF!-#REF!</f>
        <v>#REF!</v>
      </c>
      <c r="AJ26" s="124">
        <f>SUM(AJ27:AJ28)</f>
        <v>18070</v>
      </c>
      <c r="AK26" s="124">
        <f aca="true" t="shared" si="72" ref="AK26:AM26">SUM(AK27:AK29)</f>
        <v>27124</v>
      </c>
      <c r="AL26" s="124">
        <f t="shared" si="72"/>
        <v>7313</v>
      </c>
      <c r="AM26" s="124">
        <f t="shared" si="72"/>
        <v>30876</v>
      </c>
      <c r="AN26" s="108" t="e">
        <f>#REF!+#REF!+AN27+#REF!+AN28+AN29+#REF!+#REF!</f>
        <v>#REF!</v>
      </c>
      <c r="AO26" s="108" t="e">
        <f>#REF!+#REF!+AO27+#REF!+AO28+AO29+#REF!+#REF!</f>
        <v>#REF!</v>
      </c>
      <c r="AP26" s="108" t="e">
        <f>#REF!+#REF!+AP27+#REF!+AP28+AP29+#REF!+#REF!</f>
        <v>#REF!</v>
      </c>
      <c r="AQ26" s="108">
        <v>10063.39</v>
      </c>
      <c r="AR26" s="141" t="e">
        <f t="shared" si="69"/>
        <v>#REF!</v>
      </c>
      <c r="AS26" s="108">
        <v>3110.25</v>
      </c>
      <c r="AT26" s="108">
        <v>6104.56</v>
      </c>
      <c r="AU26" s="141" t="e">
        <f t="shared" si="70"/>
        <v>#REF!</v>
      </c>
      <c r="AV26" s="141" t="e">
        <f t="shared" si="71"/>
        <v>#REF!</v>
      </c>
      <c r="AW26" s="114">
        <v>0</v>
      </c>
      <c r="AX26" s="114">
        <v>0</v>
      </c>
      <c r="AY26" s="114">
        <v>0</v>
      </c>
      <c r="AZ26" s="151" t="e">
        <f>(#REF!-#REF!)/#REF!</f>
        <v>#REF!</v>
      </c>
      <c r="BA26" s="114">
        <v>0</v>
      </c>
      <c r="BB26" s="114">
        <v>0</v>
      </c>
      <c r="BC26" s="114">
        <f>SUM(BC27:BC31)</f>
        <v>4461.370000000001</v>
      </c>
      <c r="BD26" s="114">
        <f>SUM(BD27:BD31)+0.01</f>
        <v>12390.45</v>
      </c>
      <c r="BE26" s="114">
        <f>BD26-BC26</f>
        <v>7929.08</v>
      </c>
      <c r="BF26" s="114">
        <v>7545.27</v>
      </c>
      <c r="BG26" s="114">
        <v>6065.74</v>
      </c>
      <c r="BH26" s="114">
        <f>SUM(BH27:BH31)+0.01</f>
        <v>7007.7300000000005</v>
      </c>
      <c r="BI26" s="161">
        <f aca="true" t="shared" si="73" ref="BI26:BI29">BC26/AT26</f>
        <v>0.7308258089035082</v>
      </c>
      <c r="BJ26" s="161">
        <f aca="true" t="shared" si="74" ref="BJ26:BJ31">BG26/BF26</f>
        <v>0.8039129149785229</v>
      </c>
      <c r="BK26" s="161">
        <f aca="true" t="shared" si="75" ref="BK26:BK31">BH26/BG26-1</f>
        <v>0.15529679808234453</v>
      </c>
      <c r="BL26" s="112"/>
    </row>
    <row r="27" spans="1:64" s="85" customFormat="1" ht="33.75" customHeight="1">
      <c r="A27" s="119"/>
      <c r="B27" s="110"/>
      <c r="C27" s="110"/>
      <c r="D27" s="111"/>
      <c r="E27" s="111"/>
      <c r="F27" s="111"/>
      <c r="G27" s="111"/>
      <c r="H27" s="112"/>
      <c r="I27" s="112"/>
      <c r="J27" s="112"/>
      <c r="K27" s="112"/>
      <c r="L27" s="142"/>
      <c r="M27" s="112"/>
      <c r="N27" s="112"/>
      <c r="O27" s="142"/>
      <c r="P27" s="142"/>
      <c r="Q27" s="151"/>
      <c r="R27" s="151"/>
      <c r="S27" s="151"/>
      <c r="T27" s="151"/>
      <c r="U27" s="151"/>
      <c r="V27" s="151"/>
      <c r="W27" s="152"/>
      <c r="X27" s="152"/>
      <c r="Y27" s="152"/>
      <c r="Z27" s="152"/>
      <c r="AA27" s="152"/>
      <c r="AB27" s="152"/>
      <c r="AC27" s="160"/>
      <c r="AD27" s="161"/>
      <c r="AE27" s="161"/>
      <c r="AF27" s="161"/>
      <c r="AG27" s="177" t="s">
        <v>79</v>
      </c>
      <c r="AH27" s="181" t="e">
        <f>#REF!-#REF!</f>
        <v>#REF!</v>
      </c>
      <c r="AI27" s="182" t="e">
        <f>#REF!-#REF!</f>
        <v>#REF!</v>
      </c>
      <c r="AJ27" s="183">
        <v>24</v>
      </c>
      <c r="AK27" s="181">
        <v>4</v>
      </c>
      <c r="AL27" s="181">
        <v>11</v>
      </c>
      <c r="AM27" s="184">
        <v>0</v>
      </c>
      <c r="AN27" s="112">
        <v>26</v>
      </c>
      <c r="AO27" s="112">
        <v>68.48</v>
      </c>
      <c r="AP27" s="112">
        <v>48.24</v>
      </c>
      <c r="AQ27" s="112">
        <v>19.86</v>
      </c>
      <c r="AR27" s="142">
        <f t="shared" si="69"/>
        <v>0.8553846153846154</v>
      </c>
      <c r="AS27" s="112">
        <v>19.86</v>
      </c>
      <c r="AT27" s="112">
        <v>14.9</v>
      </c>
      <c r="AU27" s="142">
        <f t="shared" si="70"/>
        <v>0.7044392523364486</v>
      </c>
      <c r="AV27" s="142">
        <v>1.65</v>
      </c>
      <c r="AW27" s="151" t="e">
        <f>(AN26-AL26)/AL26</f>
        <v>#REF!</v>
      </c>
      <c r="AX27" s="151" t="e">
        <f>AN26/AM26</f>
        <v>#REF!</v>
      </c>
      <c r="AY27" s="151" t="e">
        <f>(AO26-AN26)/AN26</f>
        <v>#REF!</v>
      </c>
      <c r="AZ27" s="151">
        <f>(AL26-AJ26)/AJ26</f>
        <v>-0.5952960708356392</v>
      </c>
      <c r="BA27" s="151">
        <f>AL26/AK26</f>
        <v>0.26961362630880403</v>
      </c>
      <c r="BB27" s="151">
        <f>(AM26-AL26)/AL26</f>
        <v>3.2220702857924244</v>
      </c>
      <c r="BC27" s="112">
        <v>24.83</v>
      </c>
      <c r="BD27" s="112">
        <v>19.86</v>
      </c>
      <c r="BE27" s="112"/>
      <c r="BF27" s="112">
        <v>19.86</v>
      </c>
      <c r="BG27" s="112">
        <v>19.86</v>
      </c>
      <c r="BH27" s="112">
        <v>19.86</v>
      </c>
      <c r="BI27" s="163">
        <f t="shared" si="73"/>
        <v>1.6664429530201341</v>
      </c>
      <c r="BJ27" s="163">
        <f t="shared" si="74"/>
        <v>1</v>
      </c>
      <c r="BK27" s="112">
        <v>0</v>
      </c>
      <c r="BL27" s="112"/>
    </row>
    <row r="28" spans="1:64" s="85" customFormat="1" ht="33.75" customHeight="1">
      <c r="A28" s="123" t="s">
        <v>80</v>
      </c>
      <c r="B28" s="107"/>
      <c r="C28" s="107"/>
      <c r="D28" s="124"/>
      <c r="E28" s="114"/>
      <c r="F28" s="124"/>
      <c r="G28" s="114"/>
      <c r="H28" s="108"/>
      <c r="I28" s="108"/>
      <c r="J28" s="108"/>
      <c r="K28" s="108"/>
      <c r="L28" s="141"/>
      <c r="M28" s="108"/>
      <c r="N28" s="108"/>
      <c r="O28" s="141"/>
      <c r="P28" s="141"/>
      <c r="Q28" s="151"/>
      <c r="R28" s="114"/>
      <c r="S28" s="151"/>
      <c r="T28" s="151"/>
      <c r="U28" s="151"/>
      <c r="V28" s="151"/>
      <c r="W28" s="152"/>
      <c r="X28" s="152">
        <v>0</v>
      </c>
      <c r="Y28" s="152"/>
      <c r="Z28" s="108">
        <v>0</v>
      </c>
      <c r="AA28" s="108">
        <v>0</v>
      </c>
      <c r="AB28" s="108">
        <v>4554</v>
      </c>
      <c r="AC28" s="160"/>
      <c r="AD28" s="161"/>
      <c r="AE28" s="108">
        <v>0</v>
      </c>
      <c r="AF28" s="161">
        <v>1</v>
      </c>
      <c r="AG28" s="178" t="s">
        <v>81</v>
      </c>
      <c r="AH28" s="111" t="e">
        <f>#REF!-#REF!</f>
        <v>#REF!</v>
      </c>
      <c r="AI28" s="176" t="e">
        <f>#REF!-#REF!</f>
        <v>#REF!</v>
      </c>
      <c r="AJ28" s="111">
        <v>18046</v>
      </c>
      <c r="AK28" s="111">
        <v>27120</v>
      </c>
      <c r="AL28" s="111">
        <v>7302</v>
      </c>
      <c r="AM28" s="111">
        <v>30863</v>
      </c>
      <c r="AN28" s="112">
        <v>6158</v>
      </c>
      <c r="AO28" s="112">
        <v>16885.57</v>
      </c>
      <c r="AP28" s="112">
        <v>8812.48</v>
      </c>
      <c r="AQ28" s="112">
        <v>9956.48</v>
      </c>
      <c r="AR28" s="142">
        <f t="shared" si="69"/>
        <v>0.4310620331276387</v>
      </c>
      <c r="AS28" s="112">
        <v>2944.65</v>
      </c>
      <c r="AT28" s="112">
        <v>5859.54</v>
      </c>
      <c r="AU28" s="142">
        <f t="shared" si="70"/>
        <v>0.5218941380125159</v>
      </c>
      <c r="AV28" s="142">
        <f>AQ28/AP28-1</f>
        <v>0.12981589745451916</v>
      </c>
      <c r="AW28" s="114">
        <v>0</v>
      </c>
      <c r="AX28" s="114">
        <v>0</v>
      </c>
      <c r="AY28" s="151" t="e">
        <f>(#REF!-#REF!)/#REF!</f>
        <v>#REF!</v>
      </c>
      <c r="AZ28" s="114">
        <v>0</v>
      </c>
      <c r="BA28" s="198"/>
      <c r="BB28" s="198"/>
      <c r="BC28" s="112">
        <v>4170.06</v>
      </c>
      <c r="BD28" s="112">
        <v>11635.57</v>
      </c>
      <c r="BE28" s="112"/>
      <c r="BF28" s="112">
        <v>6694.59</v>
      </c>
      <c r="BG28" s="112">
        <v>5325.83</v>
      </c>
      <c r="BH28" s="112">
        <v>6357.8</v>
      </c>
      <c r="BI28" s="163">
        <f t="shared" si="73"/>
        <v>0.7116701993671859</v>
      </c>
      <c r="BJ28" s="163">
        <f t="shared" si="74"/>
        <v>0.795542370779988</v>
      </c>
      <c r="BK28" s="163">
        <f t="shared" si="75"/>
        <v>0.19376698092128364</v>
      </c>
      <c r="BL28" s="162">
        <f>BD24/BC24-1</f>
        <v>6.211538461538462</v>
      </c>
    </row>
    <row r="29" spans="1:64" s="85" customFormat="1" ht="33.75" customHeight="1">
      <c r="A29" s="113" t="s">
        <v>82</v>
      </c>
      <c r="B29" s="110"/>
      <c r="C29" s="110"/>
      <c r="D29" s="111"/>
      <c r="E29" s="114"/>
      <c r="F29" s="111"/>
      <c r="G29" s="114"/>
      <c r="H29" s="112"/>
      <c r="I29" s="112"/>
      <c r="J29" s="112"/>
      <c r="K29" s="112"/>
      <c r="L29" s="142"/>
      <c r="M29" s="112"/>
      <c r="N29" s="112"/>
      <c r="O29" s="142"/>
      <c r="P29" s="142"/>
      <c r="Q29" s="151"/>
      <c r="R29" s="114"/>
      <c r="S29" s="151"/>
      <c r="T29" s="151"/>
      <c r="U29" s="151"/>
      <c r="V29" s="151"/>
      <c r="W29" s="152"/>
      <c r="X29" s="152">
        <v>0</v>
      </c>
      <c r="Y29" s="152"/>
      <c r="Z29" s="112">
        <v>0</v>
      </c>
      <c r="AA29" s="112">
        <v>0</v>
      </c>
      <c r="AB29" s="112">
        <v>4518</v>
      </c>
      <c r="AC29" s="160"/>
      <c r="AD29" s="161"/>
      <c r="AE29" s="108">
        <v>0</v>
      </c>
      <c r="AF29" s="163">
        <v>1</v>
      </c>
      <c r="AG29" s="179" t="s">
        <v>83</v>
      </c>
      <c r="AH29" s="185">
        <v>0</v>
      </c>
      <c r="AI29" s="185">
        <v>0</v>
      </c>
      <c r="AJ29" s="114">
        <v>0</v>
      </c>
      <c r="AK29" s="114">
        <v>0</v>
      </c>
      <c r="AL29" s="114">
        <v>0</v>
      </c>
      <c r="AM29" s="186">
        <v>13</v>
      </c>
      <c r="AN29" s="112">
        <v>141</v>
      </c>
      <c r="AO29" s="112">
        <v>105.85</v>
      </c>
      <c r="AP29" s="112">
        <v>148.54</v>
      </c>
      <c r="AQ29" s="112">
        <v>87.05</v>
      </c>
      <c r="AR29" s="142">
        <f t="shared" si="69"/>
        <v>0.05347517730496443</v>
      </c>
      <c r="AS29" s="112">
        <v>145.74</v>
      </c>
      <c r="AT29" s="112">
        <v>229.26</v>
      </c>
      <c r="AU29" s="142">
        <f t="shared" si="70"/>
        <v>1.4033065658951347</v>
      </c>
      <c r="AV29" s="142">
        <f>AQ29/AP29-1</f>
        <v>-0.41396256900498185</v>
      </c>
      <c r="AW29" s="151">
        <f>(AN28-AL28)/AL28</f>
        <v>-0.1566694056422898</v>
      </c>
      <c r="AX29" s="151">
        <f>AN28/AM28</f>
        <v>0.19952694164533583</v>
      </c>
      <c r="AY29" s="151">
        <f>(AO28-AN28)/AN28</f>
        <v>1.7420542383890874</v>
      </c>
      <c r="AZ29" s="151">
        <f>(AL28-AJ28)/AJ28</f>
        <v>-0.5953673944364402</v>
      </c>
      <c r="BA29" s="151">
        <f>AL28/AK28</f>
        <v>0.26924778761061946</v>
      </c>
      <c r="BB29" s="151">
        <f>(AM28-AL28)/AL28</f>
        <v>3.226650232812928</v>
      </c>
      <c r="BC29" s="112">
        <v>239.62</v>
      </c>
      <c r="BD29" s="112">
        <v>329.51</v>
      </c>
      <c r="BE29" s="112"/>
      <c r="BF29" s="112">
        <v>458.55</v>
      </c>
      <c r="BG29" s="112">
        <v>347.79</v>
      </c>
      <c r="BH29" s="112">
        <v>290.06</v>
      </c>
      <c r="BI29" s="163">
        <f t="shared" si="73"/>
        <v>1.0451888685335429</v>
      </c>
      <c r="BJ29" s="163">
        <f t="shared" si="74"/>
        <v>0.7584560026169448</v>
      </c>
      <c r="BK29" s="163">
        <f t="shared" si="75"/>
        <v>-0.16599097156329978</v>
      </c>
      <c r="BL29" s="162"/>
    </row>
    <row r="30" spans="1:64" s="85" customFormat="1" ht="33.75" customHeight="1">
      <c r="A30" s="113" t="s">
        <v>84</v>
      </c>
      <c r="B30" s="110"/>
      <c r="C30" s="110"/>
      <c r="D30" s="111"/>
      <c r="E30" s="114"/>
      <c r="F30" s="111"/>
      <c r="G30" s="114"/>
      <c r="H30" s="112"/>
      <c r="I30" s="112"/>
      <c r="J30" s="112"/>
      <c r="K30" s="112"/>
      <c r="L30" s="142"/>
      <c r="M30" s="112"/>
      <c r="N30" s="112"/>
      <c r="O30" s="142"/>
      <c r="P30" s="142"/>
      <c r="Q30" s="151"/>
      <c r="R30" s="114"/>
      <c r="S30" s="151"/>
      <c r="T30" s="151"/>
      <c r="U30" s="151"/>
      <c r="V30" s="151"/>
      <c r="W30" s="152"/>
      <c r="X30" s="152">
        <v>0</v>
      </c>
      <c r="Y30" s="152"/>
      <c r="Z30" s="112">
        <v>0</v>
      </c>
      <c r="AA30" s="112">
        <v>0</v>
      </c>
      <c r="AB30" s="112">
        <v>36</v>
      </c>
      <c r="AC30" s="160"/>
      <c r="AD30" s="161"/>
      <c r="AE30" s="108">
        <v>0</v>
      </c>
      <c r="AF30" s="163">
        <v>1</v>
      </c>
      <c r="AG30" s="179" t="s">
        <v>85</v>
      </c>
      <c r="AH30" s="185"/>
      <c r="AI30" s="185"/>
      <c r="AJ30" s="114"/>
      <c r="AK30" s="114"/>
      <c r="AL30" s="114"/>
      <c r="AM30" s="186"/>
      <c r="AN30" s="112"/>
      <c r="AO30" s="112"/>
      <c r="AP30" s="112"/>
      <c r="AQ30" s="112"/>
      <c r="AR30" s="142"/>
      <c r="AS30" s="112"/>
      <c r="AT30" s="112">
        <v>0</v>
      </c>
      <c r="AU30" s="142"/>
      <c r="AV30" s="142"/>
      <c r="AW30" s="151"/>
      <c r="AX30" s="151"/>
      <c r="AY30" s="151"/>
      <c r="AZ30" s="151"/>
      <c r="BA30" s="151"/>
      <c r="BB30" s="151"/>
      <c r="BC30" s="112">
        <v>18.01</v>
      </c>
      <c r="BD30" s="112">
        <v>400</v>
      </c>
      <c r="BE30" s="112"/>
      <c r="BF30" s="112">
        <v>366.76</v>
      </c>
      <c r="BG30" s="112">
        <v>366.76</v>
      </c>
      <c r="BH30" s="112">
        <v>340</v>
      </c>
      <c r="BI30" s="163">
        <v>1</v>
      </c>
      <c r="BJ30" s="163">
        <f t="shared" si="74"/>
        <v>1</v>
      </c>
      <c r="BK30" s="163">
        <f t="shared" si="75"/>
        <v>-0.07296324571927149</v>
      </c>
      <c r="BL30" s="162"/>
    </row>
    <row r="31" spans="1:64" s="85" customFormat="1" ht="33.75" customHeight="1">
      <c r="A31" s="113"/>
      <c r="B31" s="110"/>
      <c r="C31" s="110"/>
      <c r="D31" s="111"/>
      <c r="E31" s="114"/>
      <c r="F31" s="111"/>
      <c r="G31" s="114"/>
      <c r="H31" s="112"/>
      <c r="I31" s="112"/>
      <c r="J31" s="112"/>
      <c r="K31" s="112"/>
      <c r="L31" s="142"/>
      <c r="M31" s="112"/>
      <c r="N31" s="112"/>
      <c r="O31" s="142"/>
      <c r="P31" s="142"/>
      <c r="Q31" s="151"/>
      <c r="R31" s="114"/>
      <c r="S31" s="151"/>
      <c r="T31" s="151"/>
      <c r="U31" s="151"/>
      <c r="V31" s="151"/>
      <c r="W31" s="152"/>
      <c r="X31" s="152"/>
      <c r="Y31" s="152"/>
      <c r="Z31" s="152"/>
      <c r="AA31" s="152"/>
      <c r="AB31" s="152"/>
      <c r="AC31" s="160"/>
      <c r="AD31" s="161"/>
      <c r="AE31" s="161"/>
      <c r="AF31" s="161"/>
      <c r="AG31" s="179" t="s">
        <v>86</v>
      </c>
      <c r="AH31" s="185"/>
      <c r="AI31" s="185"/>
      <c r="AJ31" s="114"/>
      <c r="AK31" s="114"/>
      <c r="AL31" s="114"/>
      <c r="AM31" s="186"/>
      <c r="AN31" s="112"/>
      <c r="AO31" s="112"/>
      <c r="AP31" s="112"/>
      <c r="AQ31" s="112"/>
      <c r="AR31" s="142"/>
      <c r="AS31" s="112"/>
      <c r="AT31" s="112">
        <v>0</v>
      </c>
      <c r="AU31" s="142"/>
      <c r="AV31" s="142"/>
      <c r="AW31" s="151"/>
      <c r="AX31" s="151"/>
      <c r="AY31" s="151"/>
      <c r="AZ31" s="151"/>
      <c r="BA31" s="151"/>
      <c r="BB31" s="151"/>
      <c r="BC31" s="112">
        <v>8.85</v>
      </c>
      <c r="BD31" s="112">
        <v>5.5</v>
      </c>
      <c r="BE31" s="112"/>
      <c r="BF31" s="112">
        <v>5.5</v>
      </c>
      <c r="BG31" s="112">
        <v>5.5</v>
      </c>
      <c r="BH31" s="112">
        <v>0</v>
      </c>
      <c r="BI31" s="163">
        <v>1</v>
      </c>
      <c r="BJ31" s="163">
        <f t="shared" si="74"/>
        <v>1</v>
      </c>
      <c r="BK31" s="112">
        <v>0</v>
      </c>
      <c r="BL31" s="112">
        <v>0</v>
      </c>
    </row>
    <row r="32" spans="1:64" s="85" customFormat="1" ht="33.75" customHeight="1">
      <c r="A32" s="125" t="s">
        <v>87</v>
      </c>
      <c r="B32" s="110"/>
      <c r="C32" s="110"/>
      <c r="D32" s="111"/>
      <c r="E32" s="114"/>
      <c r="F32" s="111"/>
      <c r="G32" s="114"/>
      <c r="H32" s="112"/>
      <c r="I32" s="112"/>
      <c r="J32" s="112"/>
      <c r="K32" s="112"/>
      <c r="L32" s="142"/>
      <c r="M32" s="112"/>
      <c r="N32" s="112"/>
      <c r="O32" s="142"/>
      <c r="P32" s="142"/>
      <c r="Q32" s="151"/>
      <c r="R32" s="114"/>
      <c r="S32" s="151"/>
      <c r="T32" s="151"/>
      <c r="U32" s="151"/>
      <c r="V32" s="151"/>
      <c r="W32" s="152"/>
      <c r="X32" s="108">
        <f aca="true" t="shared" si="76" ref="X32:AB32">X5+X16+X20+X28+X24</f>
        <v>36692.9</v>
      </c>
      <c r="Y32" s="152"/>
      <c r="Z32" s="108">
        <f>Z5+Z16+Z20+Z28+Z24</f>
        <v>37926.5</v>
      </c>
      <c r="AA32" s="108">
        <f t="shared" si="76"/>
        <v>40118.83</v>
      </c>
      <c r="AB32" s="108">
        <f t="shared" si="76"/>
        <v>40477.76</v>
      </c>
      <c r="AC32" s="160"/>
      <c r="AD32" s="161"/>
      <c r="AE32" s="161">
        <f>AA32/Z32</f>
        <v>1.0578047011983707</v>
      </c>
      <c r="AF32" s="161">
        <f>AB32/AA32-1</f>
        <v>0.008946671675121198</v>
      </c>
      <c r="AG32" s="179"/>
      <c r="AH32" s="185"/>
      <c r="AI32" s="185"/>
      <c r="AJ32" s="114"/>
      <c r="AK32" s="114"/>
      <c r="AL32" s="114"/>
      <c r="AM32" s="186"/>
      <c r="AN32" s="112"/>
      <c r="AO32" s="112"/>
      <c r="AP32" s="112"/>
      <c r="AQ32" s="112"/>
      <c r="AR32" s="142"/>
      <c r="AS32" s="112"/>
      <c r="AT32" s="112"/>
      <c r="AU32" s="142"/>
      <c r="AV32" s="142"/>
      <c r="AW32" s="151"/>
      <c r="AX32" s="151"/>
      <c r="AY32" s="151"/>
      <c r="AZ32" s="151"/>
      <c r="BA32" s="151"/>
      <c r="BB32" s="151"/>
      <c r="BC32" s="112"/>
      <c r="BD32" s="112"/>
      <c r="BE32" s="112"/>
      <c r="BF32" s="112"/>
      <c r="BG32" s="112"/>
      <c r="BH32" s="112"/>
      <c r="BI32" s="163"/>
      <c r="BJ32" s="163"/>
      <c r="BK32" s="163"/>
      <c r="BL32" s="162"/>
    </row>
    <row r="33" spans="1:64" s="85" customFormat="1" ht="33.75" customHeight="1">
      <c r="A33" s="113"/>
      <c r="B33" s="110"/>
      <c r="C33" s="110"/>
      <c r="D33" s="111"/>
      <c r="E33" s="114"/>
      <c r="F33" s="111"/>
      <c r="G33" s="114"/>
      <c r="H33" s="112"/>
      <c r="I33" s="112"/>
      <c r="J33" s="112"/>
      <c r="K33" s="112"/>
      <c r="L33" s="142"/>
      <c r="M33" s="112"/>
      <c r="N33" s="112"/>
      <c r="O33" s="142"/>
      <c r="P33" s="142"/>
      <c r="Q33" s="151"/>
      <c r="R33" s="114"/>
      <c r="S33" s="151"/>
      <c r="T33" s="151"/>
      <c r="U33" s="151"/>
      <c r="V33" s="151"/>
      <c r="W33" s="152"/>
      <c r="X33" s="152"/>
      <c r="Y33" s="152"/>
      <c r="Z33" s="152"/>
      <c r="AA33" s="152"/>
      <c r="AB33" s="152"/>
      <c r="AC33" s="160"/>
      <c r="AD33" s="161"/>
      <c r="AE33" s="161"/>
      <c r="AF33" s="161"/>
      <c r="AG33" s="187" t="s">
        <v>88</v>
      </c>
      <c r="AH33" s="185"/>
      <c r="AI33" s="185"/>
      <c r="AJ33" s="114"/>
      <c r="AK33" s="114"/>
      <c r="AL33" s="114"/>
      <c r="AM33" s="186"/>
      <c r="AN33" s="112"/>
      <c r="AO33" s="112"/>
      <c r="AP33" s="112"/>
      <c r="AQ33" s="112"/>
      <c r="AR33" s="142"/>
      <c r="AS33" s="112"/>
      <c r="AT33" s="112"/>
      <c r="AU33" s="142"/>
      <c r="AV33" s="142"/>
      <c r="AW33" s="151"/>
      <c r="AX33" s="151"/>
      <c r="AY33" s="151"/>
      <c r="AZ33" s="151"/>
      <c r="BA33" s="151"/>
      <c r="BB33" s="151"/>
      <c r="BC33" s="112"/>
      <c r="BD33" s="112">
        <v>0</v>
      </c>
      <c r="BE33" s="112"/>
      <c r="BF33" s="108">
        <v>0</v>
      </c>
      <c r="BG33" s="108">
        <v>0</v>
      </c>
      <c r="BH33" s="108">
        <v>4518</v>
      </c>
      <c r="BI33" s="163"/>
      <c r="BJ33" s="112">
        <v>0</v>
      </c>
      <c r="BK33" s="161">
        <v>1</v>
      </c>
      <c r="BL33" s="160">
        <f aca="true" t="shared" si="77" ref="BL33:BL35">BD26/BC26-1</f>
        <v>1.777274693647915</v>
      </c>
    </row>
    <row r="34" spans="1:64" s="85" customFormat="1" ht="33.75" customHeight="1">
      <c r="A34" s="118" t="s">
        <v>89</v>
      </c>
      <c r="B34" s="107">
        <v>0</v>
      </c>
      <c r="C34" s="107">
        <v>0</v>
      </c>
      <c r="D34" s="107">
        <v>3789</v>
      </c>
      <c r="E34" s="107">
        <v>1112</v>
      </c>
      <c r="F34" s="107">
        <v>1112</v>
      </c>
      <c r="G34" s="107">
        <v>20409</v>
      </c>
      <c r="H34" s="108">
        <v>18513.3</v>
      </c>
      <c r="I34" s="108">
        <v>12429.36</v>
      </c>
      <c r="J34" s="108">
        <v>12727.35</v>
      </c>
      <c r="K34" s="108">
        <v>4110.1</v>
      </c>
      <c r="L34" s="141">
        <f>J34/H34-1</f>
        <v>-0.31252937077668486</v>
      </c>
      <c r="M34" s="108">
        <v>4334.61</v>
      </c>
      <c r="N34" s="108">
        <v>4571.77</v>
      </c>
      <c r="O34" s="141">
        <f>J34/I34</f>
        <v>1.023974685744077</v>
      </c>
      <c r="P34" s="141">
        <f>K34/J34-1</f>
        <v>-0.6770655321021265</v>
      </c>
      <c r="Q34" s="151">
        <f>(H34-F34)/F34</f>
        <v>15.64865107913669</v>
      </c>
      <c r="R34" s="151">
        <f>H34/G34</f>
        <v>0.9071145083051595</v>
      </c>
      <c r="S34" s="151">
        <f>(I34-H34)/H34</f>
        <v>-0.3286253666283158</v>
      </c>
      <c r="T34" s="116"/>
      <c r="U34" s="116"/>
      <c r="V34" s="116"/>
      <c r="W34" s="108">
        <v>4571.77</v>
      </c>
      <c r="X34" s="108">
        <v>18091.34</v>
      </c>
      <c r="Y34" s="108"/>
      <c r="Z34" s="108">
        <v>18088.34</v>
      </c>
      <c r="AA34" s="108">
        <v>18088.34</v>
      </c>
      <c r="AB34" s="108">
        <v>15650.63</v>
      </c>
      <c r="AC34" s="160">
        <f>W34/N34</f>
        <v>1</v>
      </c>
      <c r="AD34" s="161">
        <f>X34/W34-1</f>
        <v>2.9571850727398794</v>
      </c>
      <c r="AE34" s="161">
        <f aca="true" t="shared" si="78" ref="AE32:AE36">AA34/Z34</f>
        <v>1</v>
      </c>
      <c r="AF34" s="161">
        <f aca="true" t="shared" si="79" ref="AF32:AF36">AB34/AA34-1</f>
        <v>-0.1347669272028279</v>
      </c>
      <c r="AG34" s="179" t="s">
        <v>90</v>
      </c>
      <c r="AH34" s="185"/>
      <c r="AI34" s="185"/>
      <c r="AJ34" s="114"/>
      <c r="AK34" s="114"/>
      <c r="AL34" s="114"/>
      <c r="AM34" s="186"/>
      <c r="AN34" s="112"/>
      <c r="AO34" s="112"/>
      <c r="AP34" s="112"/>
      <c r="AQ34" s="112"/>
      <c r="AR34" s="142"/>
      <c r="AS34" s="112"/>
      <c r="AT34" s="112"/>
      <c r="AU34" s="142"/>
      <c r="AV34" s="142"/>
      <c r="AW34" s="151"/>
      <c r="AX34" s="151"/>
      <c r="AY34" s="151"/>
      <c r="AZ34" s="151"/>
      <c r="BA34" s="151"/>
      <c r="BB34" s="151"/>
      <c r="BC34" s="112"/>
      <c r="BD34" s="112">
        <v>0</v>
      </c>
      <c r="BE34" s="112"/>
      <c r="BF34" s="112">
        <v>0</v>
      </c>
      <c r="BG34" s="112">
        <v>0</v>
      </c>
      <c r="BH34" s="112">
        <v>4518</v>
      </c>
      <c r="BI34" s="163"/>
      <c r="BJ34" s="112">
        <v>0</v>
      </c>
      <c r="BK34" s="163">
        <v>1</v>
      </c>
      <c r="BL34" s="162">
        <f t="shared" si="77"/>
        <v>-0.20016109544905358</v>
      </c>
    </row>
    <row r="35" spans="1:64" s="85" customFormat="1" ht="33.75" customHeight="1">
      <c r="A35" s="113" t="s">
        <v>91</v>
      </c>
      <c r="B35" s="107"/>
      <c r="C35" s="107"/>
      <c r="D35" s="107"/>
      <c r="E35" s="107"/>
      <c r="F35" s="107"/>
      <c r="G35" s="107"/>
      <c r="H35" s="108"/>
      <c r="I35" s="108"/>
      <c r="J35" s="108"/>
      <c r="K35" s="108"/>
      <c r="L35" s="141"/>
      <c r="M35" s="108"/>
      <c r="N35" s="108"/>
      <c r="O35" s="141"/>
      <c r="P35" s="141"/>
      <c r="Q35" s="151"/>
      <c r="R35" s="151"/>
      <c r="S35" s="151"/>
      <c r="T35" s="116"/>
      <c r="U35" s="116"/>
      <c r="V35" s="116"/>
      <c r="W35" s="108"/>
      <c r="X35" s="108"/>
      <c r="Y35" s="108"/>
      <c r="Z35" s="112">
        <v>13983.07</v>
      </c>
      <c r="AA35" s="112">
        <v>13983.07</v>
      </c>
      <c r="AB35" s="112">
        <v>13182.27</v>
      </c>
      <c r="AC35" s="160"/>
      <c r="AD35" s="161"/>
      <c r="AE35" s="163">
        <f t="shared" si="78"/>
        <v>1</v>
      </c>
      <c r="AF35" s="163">
        <f t="shared" si="79"/>
        <v>-0.05726925489180845</v>
      </c>
      <c r="AG35" s="179" t="s">
        <v>92</v>
      </c>
      <c r="AH35" s="185"/>
      <c r="AI35" s="185"/>
      <c r="AJ35" s="114"/>
      <c r="AK35" s="114"/>
      <c r="AL35" s="114"/>
      <c r="AM35" s="186"/>
      <c r="AN35" s="112"/>
      <c r="AO35" s="112"/>
      <c r="AP35" s="112"/>
      <c r="AQ35" s="112"/>
      <c r="AR35" s="142"/>
      <c r="AS35" s="112"/>
      <c r="AT35" s="112"/>
      <c r="AU35" s="142"/>
      <c r="AV35" s="142"/>
      <c r="AW35" s="151"/>
      <c r="AX35" s="151"/>
      <c r="AY35" s="151"/>
      <c r="AZ35" s="151"/>
      <c r="BA35" s="151"/>
      <c r="BB35" s="151"/>
      <c r="BC35" s="112"/>
      <c r="BD35" s="112"/>
      <c r="BE35" s="112"/>
      <c r="BF35" s="112">
        <v>0</v>
      </c>
      <c r="BG35" s="112">
        <v>0</v>
      </c>
      <c r="BH35" s="112">
        <v>0</v>
      </c>
      <c r="BI35" s="163"/>
      <c r="BJ35" s="112">
        <v>0</v>
      </c>
      <c r="BK35" s="112">
        <v>0</v>
      </c>
      <c r="BL35" s="162">
        <f t="shared" si="77"/>
        <v>1.7902644086655823</v>
      </c>
    </row>
    <row r="36" spans="1:64" s="85" customFormat="1" ht="33.75" customHeight="1">
      <c r="A36" s="113" t="s">
        <v>93</v>
      </c>
      <c r="B36" s="107"/>
      <c r="C36" s="107"/>
      <c r="D36" s="107"/>
      <c r="E36" s="107"/>
      <c r="F36" s="107"/>
      <c r="G36" s="107"/>
      <c r="H36" s="108"/>
      <c r="I36" s="108"/>
      <c r="J36" s="108"/>
      <c r="K36" s="108"/>
      <c r="L36" s="141"/>
      <c r="M36" s="108"/>
      <c r="N36" s="108"/>
      <c r="O36" s="141"/>
      <c r="P36" s="141"/>
      <c r="Q36" s="151"/>
      <c r="R36" s="151"/>
      <c r="S36" s="151"/>
      <c r="T36" s="116"/>
      <c r="U36" s="116"/>
      <c r="V36" s="116"/>
      <c r="W36" s="108"/>
      <c r="X36" s="108"/>
      <c r="Y36" s="108"/>
      <c r="Z36" s="112">
        <v>4105.27</v>
      </c>
      <c r="AA36" s="112">
        <v>4105.27</v>
      </c>
      <c r="AB36" s="112">
        <v>2468.36</v>
      </c>
      <c r="AC36" s="160"/>
      <c r="AD36" s="161"/>
      <c r="AE36" s="163">
        <f t="shared" si="78"/>
        <v>1</v>
      </c>
      <c r="AF36" s="163">
        <f t="shared" si="79"/>
        <v>-0.3987338226231162</v>
      </c>
      <c r="AG36" s="179"/>
      <c r="AH36" s="185"/>
      <c r="AI36" s="185"/>
      <c r="AJ36" s="114"/>
      <c r="AK36" s="114"/>
      <c r="AL36" s="114"/>
      <c r="AM36" s="186"/>
      <c r="AN36" s="112"/>
      <c r="AO36" s="112"/>
      <c r="AP36" s="112"/>
      <c r="AQ36" s="112"/>
      <c r="AR36" s="142"/>
      <c r="AS36" s="112"/>
      <c r="AT36" s="112"/>
      <c r="AU36" s="142"/>
      <c r="AV36" s="142"/>
      <c r="AW36" s="151"/>
      <c r="AX36" s="151"/>
      <c r="AY36" s="151"/>
      <c r="AZ36" s="151"/>
      <c r="BA36" s="151"/>
      <c r="BB36" s="151"/>
      <c r="BC36" s="112"/>
      <c r="BD36" s="112"/>
      <c r="BE36" s="112"/>
      <c r="BF36" s="112"/>
      <c r="BG36" s="112"/>
      <c r="BH36" s="112"/>
      <c r="BI36" s="163"/>
      <c r="BJ36" s="163"/>
      <c r="BK36" s="163"/>
      <c r="BL36" s="162"/>
    </row>
    <row r="37" spans="1:64" s="85" customFormat="1" ht="33.75" customHeight="1">
      <c r="A37" s="113"/>
      <c r="B37" s="107"/>
      <c r="C37" s="107"/>
      <c r="D37" s="107"/>
      <c r="E37" s="107"/>
      <c r="F37" s="107"/>
      <c r="G37" s="107"/>
      <c r="H37" s="108"/>
      <c r="I37" s="108"/>
      <c r="J37" s="108"/>
      <c r="K37" s="108"/>
      <c r="L37" s="141"/>
      <c r="M37" s="108"/>
      <c r="N37" s="108"/>
      <c r="O37" s="141"/>
      <c r="P37" s="141"/>
      <c r="Q37" s="151"/>
      <c r="R37" s="151"/>
      <c r="S37" s="151"/>
      <c r="T37" s="116"/>
      <c r="U37" s="116"/>
      <c r="V37" s="116"/>
      <c r="W37" s="108"/>
      <c r="X37" s="108"/>
      <c r="Y37" s="108"/>
      <c r="Z37" s="112"/>
      <c r="AA37" s="112"/>
      <c r="AB37" s="112"/>
      <c r="AC37" s="160"/>
      <c r="AD37" s="161"/>
      <c r="AE37" s="163"/>
      <c r="AF37" s="163"/>
      <c r="AG37" s="125" t="s">
        <v>94</v>
      </c>
      <c r="AH37" s="185"/>
      <c r="AI37" s="185"/>
      <c r="AJ37" s="124" t="e">
        <f>#REF!+AJ26</f>
        <v>#REF!</v>
      </c>
      <c r="AK37" s="124" t="e">
        <f>#REF!+AK26</f>
        <v>#REF!</v>
      </c>
      <c r="AL37" s="124" t="e">
        <f>#REF!+AL26</f>
        <v>#REF!</v>
      </c>
      <c r="AM37" s="124" t="e">
        <f>#REF!+AM26</f>
        <v>#REF!</v>
      </c>
      <c r="AN37" s="108" t="e">
        <f aca="true" t="shared" si="80" ref="AN37:AQ37">AN26+AN5</f>
        <v>#REF!</v>
      </c>
      <c r="AO37" s="108" t="e">
        <f t="shared" si="80"/>
        <v>#REF!</v>
      </c>
      <c r="AP37" s="108" t="e">
        <f t="shared" si="80"/>
        <v>#REF!</v>
      </c>
      <c r="AQ37" s="108">
        <f t="shared" si="80"/>
        <v>43054.51</v>
      </c>
      <c r="AR37" s="141" t="e">
        <f>AP37/AN37-1</f>
        <v>#REF!</v>
      </c>
      <c r="AS37" s="108">
        <f>AS26+AS5</f>
        <v>30808.56</v>
      </c>
      <c r="AT37" s="108">
        <f>AT26+AT5</f>
        <v>38368.68</v>
      </c>
      <c r="AU37" s="141" t="e">
        <f>AP37/AO37</f>
        <v>#REF!</v>
      </c>
      <c r="AV37" s="141" t="e">
        <f>AQ37/AP37-1</f>
        <v>#REF!</v>
      </c>
      <c r="AW37" s="114">
        <v>0</v>
      </c>
      <c r="AX37" s="114">
        <v>0</v>
      </c>
      <c r="AY37" s="114">
        <v>0</v>
      </c>
      <c r="AZ37" s="114"/>
      <c r="BA37" s="198"/>
      <c r="BB37" s="198"/>
      <c r="BC37" s="108">
        <f aca="true" t="shared" si="81" ref="BC37:BG37">BC26+BC5</f>
        <v>32914.18</v>
      </c>
      <c r="BD37" s="108">
        <f t="shared" si="81"/>
        <v>54540.15000000001</v>
      </c>
      <c r="BE37" s="114">
        <f>BD37-BC37</f>
        <v>21625.97000000001</v>
      </c>
      <c r="BF37" s="108">
        <f aca="true" t="shared" si="82" ref="BF37:BH37">BF26+BF5+BF33</f>
        <v>47821.95</v>
      </c>
      <c r="BG37" s="108">
        <f t="shared" si="82"/>
        <v>42556.54</v>
      </c>
      <c r="BH37" s="108">
        <f t="shared" si="82"/>
        <v>56021.83</v>
      </c>
      <c r="BI37" s="161">
        <f>BC37/AT37</f>
        <v>0.8578397797370146</v>
      </c>
      <c r="BJ37" s="161">
        <f>BG37/BF37</f>
        <v>0.8898955396005391</v>
      </c>
      <c r="BK37" s="161">
        <f>BH37/BG37-1</f>
        <v>0.3164094167429965</v>
      </c>
      <c r="BL37" s="162"/>
    </row>
    <row r="38" spans="1:64" s="85" customFormat="1" ht="33.75" customHeight="1">
      <c r="A38" s="126"/>
      <c r="B38" s="127"/>
      <c r="C38" s="127"/>
      <c r="D38" s="127"/>
      <c r="E38" s="127"/>
      <c r="F38" s="127"/>
      <c r="G38" s="127"/>
      <c r="H38" s="128"/>
      <c r="I38" s="128"/>
      <c r="J38" s="128"/>
      <c r="K38" s="112"/>
      <c r="L38" s="142"/>
      <c r="M38" s="112"/>
      <c r="N38" s="112"/>
      <c r="O38" s="142"/>
      <c r="P38" s="142"/>
      <c r="Q38" s="153"/>
      <c r="R38" s="154"/>
      <c r="S38" s="153"/>
      <c r="T38" s="116"/>
      <c r="U38" s="116"/>
      <c r="V38" s="116"/>
      <c r="W38" s="155"/>
      <c r="X38" s="155"/>
      <c r="Y38" s="155"/>
      <c r="Z38" s="155"/>
      <c r="AA38" s="155"/>
      <c r="AB38" s="155"/>
      <c r="AC38" s="160"/>
      <c r="AD38" s="161"/>
      <c r="AE38" s="161"/>
      <c r="AF38" s="161"/>
      <c r="AG38" s="179"/>
      <c r="AH38" s="185">
        <v>0</v>
      </c>
      <c r="AI38" s="185">
        <v>0</v>
      </c>
      <c r="AJ38" s="111"/>
      <c r="AK38" s="185"/>
      <c r="AL38" s="185"/>
      <c r="AM38" s="185"/>
      <c r="AN38" s="112"/>
      <c r="AO38" s="112"/>
      <c r="AP38" s="112"/>
      <c r="AQ38" s="112"/>
      <c r="AR38" s="141"/>
      <c r="AS38" s="108"/>
      <c r="AT38" s="108"/>
      <c r="AU38" s="141"/>
      <c r="AV38" s="141"/>
      <c r="AW38" s="114">
        <v>0</v>
      </c>
      <c r="AX38" s="151">
        <f>AN29/AM29</f>
        <v>10.846153846153847</v>
      </c>
      <c r="AY38" s="151">
        <f>(AO29-AN29)/AN29</f>
        <v>-0.249290780141844</v>
      </c>
      <c r="AZ38" s="114">
        <v>0</v>
      </c>
      <c r="BA38" s="114">
        <v>0</v>
      </c>
      <c r="BB38" s="114">
        <v>0</v>
      </c>
      <c r="BC38" s="152"/>
      <c r="BD38" s="152"/>
      <c r="BE38" s="152"/>
      <c r="BF38" s="152"/>
      <c r="BG38" s="152"/>
      <c r="BH38" s="152"/>
      <c r="BI38" s="161"/>
      <c r="BJ38" s="163"/>
      <c r="BK38" s="161"/>
      <c r="BL38" s="162"/>
    </row>
    <row r="39" spans="1:64" s="85" customFormat="1" ht="33.75" customHeight="1">
      <c r="A39" s="129" t="s">
        <v>95</v>
      </c>
      <c r="B39" s="130" t="e">
        <f>#REF!+B20</f>
        <v>#REF!</v>
      </c>
      <c r="C39" s="130" t="e">
        <f>#REF!+C20</f>
        <v>#REF!</v>
      </c>
      <c r="D39" s="130" t="e">
        <f>#REF!+#REF!+D34</f>
        <v>#REF!</v>
      </c>
      <c r="E39" s="130" t="e">
        <f>#REF!+#REF!+E34</f>
        <v>#REF!</v>
      </c>
      <c r="F39" s="130" t="e">
        <f>#REF!+#REF!+F34</f>
        <v>#REF!</v>
      </c>
      <c r="G39" s="130" t="e">
        <f>#REF!+#REF!+G34</f>
        <v>#REF!</v>
      </c>
      <c r="H39" s="131" t="e">
        <f>#REF!+H34</f>
        <v>#REF!</v>
      </c>
      <c r="I39" s="131" t="e">
        <f>#REF!+I34</f>
        <v>#REF!</v>
      </c>
      <c r="J39" s="131" t="e">
        <f>#REF!+J34</f>
        <v>#REF!</v>
      </c>
      <c r="K39" s="131" t="e">
        <f>#REF!+K34+0.01</f>
        <v>#REF!</v>
      </c>
      <c r="L39" s="141" t="e">
        <f>J39/H39-1</f>
        <v>#REF!</v>
      </c>
      <c r="M39" s="131" t="e">
        <f>#REF!+M34</f>
        <v>#REF!</v>
      </c>
      <c r="N39" s="131" t="e">
        <f>#REF!+N34</f>
        <v>#REF!</v>
      </c>
      <c r="O39" s="141" t="e">
        <f>J39/I39</f>
        <v>#REF!</v>
      </c>
      <c r="P39" s="141" t="e">
        <f>K39/J39-1</f>
        <v>#REF!</v>
      </c>
      <c r="Q39" s="151"/>
      <c r="R39" s="153"/>
      <c r="S39" s="151"/>
      <c r="T39" s="116"/>
      <c r="U39" s="116"/>
      <c r="V39" s="116"/>
      <c r="W39" s="131" t="e">
        <f>#REF!+W34</f>
        <v>#REF!</v>
      </c>
      <c r="X39" s="131">
        <f aca="true" t="shared" si="83" ref="X39:AB39">X32+X34</f>
        <v>54784.240000000005</v>
      </c>
      <c r="Y39" s="108" t="e">
        <f>X39-W39</f>
        <v>#REF!</v>
      </c>
      <c r="Z39" s="131">
        <f>Z32+Z34</f>
        <v>56014.84</v>
      </c>
      <c r="AA39" s="131">
        <f t="shared" si="83"/>
        <v>58207.17</v>
      </c>
      <c r="AB39" s="131">
        <f t="shared" si="83"/>
        <v>56128.39</v>
      </c>
      <c r="AC39" s="160" t="e">
        <f>W39/N39</f>
        <v>#REF!</v>
      </c>
      <c r="AD39" s="161" t="e">
        <f>X39/W39-1</f>
        <v>#REF!</v>
      </c>
      <c r="AE39" s="161">
        <f>AA39/Z39</f>
        <v>1.0391383783297428</v>
      </c>
      <c r="AF39" s="161">
        <f>AB39/AA39-1</f>
        <v>-0.03571346966361699</v>
      </c>
      <c r="AG39" s="125" t="s">
        <v>96</v>
      </c>
      <c r="AH39" s="124" t="e">
        <f>#REF!-#REF!</f>
        <v>#REF!</v>
      </c>
      <c r="AI39" s="152" t="e">
        <f>#REF!-#REF!</f>
        <v>#REF!</v>
      </c>
      <c r="AJ39" s="124" t="e">
        <f>AJ37+#REF!</f>
        <v>#REF!</v>
      </c>
      <c r="AK39" s="124" t="e">
        <f>AK37+#REF!</f>
        <v>#REF!</v>
      </c>
      <c r="AL39" s="124" t="e">
        <f>AL37+#REF!</f>
        <v>#REF!</v>
      </c>
      <c r="AM39" s="124" t="e">
        <f>AM37+#REF!</f>
        <v>#REF!</v>
      </c>
      <c r="AN39" s="108" t="e">
        <f aca="true" t="shared" si="84" ref="AN39:AQ39">AN37</f>
        <v>#REF!</v>
      </c>
      <c r="AO39" s="108" t="e">
        <f t="shared" si="84"/>
        <v>#REF!</v>
      </c>
      <c r="AP39" s="108" t="e">
        <f t="shared" si="84"/>
        <v>#REF!</v>
      </c>
      <c r="AQ39" s="108">
        <f t="shared" si="84"/>
        <v>43054.51</v>
      </c>
      <c r="AR39" s="141" t="e">
        <f>AP39/AN39-1</f>
        <v>#REF!</v>
      </c>
      <c r="AS39" s="108">
        <f>AS37</f>
        <v>30808.56</v>
      </c>
      <c r="AT39" s="108">
        <f>AT37</f>
        <v>38368.68</v>
      </c>
      <c r="AU39" s="141" t="e">
        <f>AP39/AO39</f>
        <v>#REF!</v>
      </c>
      <c r="AV39" s="141" t="e">
        <f>AQ39/AP39-1</f>
        <v>#REF!</v>
      </c>
      <c r="AW39" s="151"/>
      <c r="AX39" s="153"/>
      <c r="AY39" s="151"/>
      <c r="AZ39" s="114"/>
      <c r="BA39" s="114"/>
      <c r="BB39" s="114"/>
      <c r="BC39" s="108">
        <f aca="true" t="shared" si="85" ref="BC39:BH39">BC37</f>
        <v>32914.18</v>
      </c>
      <c r="BD39" s="108">
        <f t="shared" si="85"/>
        <v>54540.15000000001</v>
      </c>
      <c r="BE39" s="108"/>
      <c r="BF39" s="108">
        <f>BF37</f>
        <v>47821.95</v>
      </c>
      <c r="BG39" s="108">
        <f t="shared" si="85"/>
        <v>42556.54</v>
      </c>
      <c r="BH39" s="108">
        <f t="shared" si="85"/>
        <v>56021.83</v>
      </c>
      <c r="BI39" s="161">
        <f>BC39/AT39</f>
        <v>0.8578397797370146</v>
      </c>
      <c r="BJ39" s="161">
        <f>BG39/BF39</f>
        <v>0.8898955396005391</v>
      </c>
      <c r="BK39" s="161">
        <f>BH39/BG39-1</f>
        <v>0.3164094167429965</v>
      </c>
      <c r="BL39" s="162"/>
    </row>
    <row r="40" spans="1:64" s="85" customFormat="1" ht="33.75" customHeight="1">
      <c r="A40" s="132"/>
      <c r="B40" s="133"/>
      <c r="C40" s="133"/>
      <c r="D40" s="133"/>
      <c r="E40" s="133"/>
      <c r="F40" s="133"/>
      <c r="G40" s="133"/>
      <c r="H40" s="134"/>
      <c r="I40" s="134"/>
      <c r="J40" s="134"/>
      <c r="K40" s="134"/>
      <c r="L40" s="143"/>
      <c r="M40" s="134"/>
      <c r="N40" s="134"/>
      <c r="O40" s="143"/>
      <c r="P40" s="143"/>
      <c r="Q40" s="151"/>
      <c r="R40" s="153"/>
      <c r="S40" s="151"/>
      <c r="T40" s="116"/>
      <c r="U40" s="116"/>
      <c r="V40" s="116"/>
      <c r="W40" s="156"/>
      <c r="X40" s="156"/>
      <c r="Y40" s="164"/>
      <c r="Z40" s="164"/>
      <c r="AA40" s="164"/>
      <c r="AB40" s="164"/>
      <c r="AC40" s="165"/>
      <c r="AD40" s="166"/>
      <c r="AE40" s="167"/>
      <c r="AF40" s="167"/>
      <c r="AG40" s="188"/>
      <c r="AH40" s="189"/>
      <c r="AI40" s="189"/>
      <c r="AJ40" s="189"/>
      <c r="AK40" s="189"/>
      <c r="AL40" s="189"/>
      <c r="AM40" s="189"/>
      <c r="AN40" s="189"/>
      <c r="AO40" s="189"/>
      <c r="AP40" s="189"/>
      <c r="AQ40" s="194"/>
      <c r="AR40" s="189"/>
      <c r="AS40" s="195">
        <f>AS39/AQ39</f>
        <v>0.7155710284474263</v>
      </c>
      <c r="AT40" s="195"/>
      <c r="AU40" s="189"/>
      <c r="AV40" s="189"/>
      <c r="AW40" s="151" t="e">
        <f>(AN37-AL37)/AL37</f>
        <v>#REF!</v>
      </c>
      <c r="AX40" s="151" t="e">
        <f>AN37/AM37</f>
        <v>#REF!</v>
      </c>
      <c r="AY40" s="151" t="e">
        <f>(AO37-AN37)/AN37</f>
        <v>#REF!</v>
      </c>
      <c r="AZ40" s="151" t="e">
        <f>(AL37-AJ37)/AJ37</f>
        <v>#REF!</v>
      </c>
      <c r="BA40" s="151" t="e">
        <f>AL37/AK37</f>
        <v>#REF!</v>
      </c>
      <c r="BB40" s="151" t="e">
        <f>(AM37-AL37)/AL37</f>
        <v>#REF!</v>
      </c>
      <c r="BC40" s="157"/>
      <c r="BD40" s="157"/>
      <c r="BE40" s="157"/>
      <c r="BF40" s="157"/>
      <c r="BG40" s="157"/>
      <c r="BH40" s="157"/>
      <c r="BI40" s="170"/>
      <c r="BJ40" s="170"/>
      <c r="BK40" s="170"/>
      <c r="BL40" s="162"/>
    </row>
    <row r="41" spans="1:64" s="85" customFormat="1" ht="33.75" customHeight="1">
      <c r="A41" s="132"/>
      <c r="B41" s="133"/>
      <c r="C41" s="133"/>
      <c r="D41" s="133"/>
      <c r="E41" s="133"/>
      <c r="F41" s="133"/>
      <c r="G41" s="133"/>
      <c r="H41" s="134"/>
      <c r="I41" s="134"/>
      <c r="J41" s="134"/>
      <c r="K41" s="134"/>
      <c r="L41" s="143"/>
      <c r="M41" s="134"/>
      <c r="N41" s="134"/>
      <c r="O41" s="143"/>
      <c r="P41" s="143"/>
      <c r="Q41" s="151"/>
      <c r="R41" s="153"/>
      <c r="S41" s="151"/>
      <c r="T41" s="116"/>
      <c r="U41" s="116"/>
      <c r="V41" s="116"/>
      <c r="W41" s="156"/>
      <c r="X41" s="156"/>
      <c r="Y41" s="164"/>
      <c r="Z41" s="164"/>
      <c r="AA41" s="168"/>
      <c r="AB41" s="164"/>
      <c r="AC41" s="165"/>
      <c r="AD41" s="166"/>
      <c r="AE41" s="167"/>
      <c r="AF41" s="167"/>
      <c r="AG41" s="188"/>
      <c r="AH41" s="189"/>
      <c r="AI41" s="189"/>
      <c r="AJ41" s="189"/>
      <c r="AK41" s="189"/>
      <c r="AL41" s="189"/>
      <c r="AM41" s="189"/>
      <c r="AN41" s="189"/>
      <c r="AO41" s="189"/>
      <c r="AP41" s="189"/>
      <c r="AQ41" s="194"/>
      <c r="AR41" s="189"/>
      <c r="AS41" s="195"/>
      <c r="AT41" s="195"/>
      <c r="AU41" s="189"/>
      <c r="AV41" s="189"/>
      <c r="AW41" s="151"/>
      <c r="AX41" s="153"/>
      <c r="AY41" s="151"/>
      <c r="AZ41" s="151"/>
      <c r="BA41" s="151"/>
      <c r="BB41" s="151"/>
      <c r="BC41" s="157"/>
      <c r="BD41" s="157"/>
      <c r="BE41" s="157"/>
      <c r="BF41" s="157"/>
      <c r="BG41" s="157"/>
      <c r="BH41" s="157"/>
      <c r="BI41" s="170"/>
      <c r="BJ41" s="170"/>
      <c r="BK41" s="170"/>
      <c r="BL41" s="112">
        <v>0</v>
      </c>
    </row>
    <row r="42" spans="1:64" s="85" customFormat="1" ht="33.75" customHeight="1">
      <c r="A42" s="132"/>
      <c r="B42" s="133"/>
      <c r="C42" s="133"/>
      <c r="D42" s="133"/>
      <c r="E42" s="133"/>
      <c r="F42" s="133"/>
      <c r="G42" s="133"/>
      <c r="H42" s="134"/>
      <c r="I42" s="134"/>
      <c r="J42" s="134"/>
      <c r="K42" s="134"/>
      <c r="L42" s="143"/>
      <c r="M42" s="134"/>
      <c r="N42" s="134"/>
      <c r="O42" s="143"/>
      <c r="P42" s="143"/>
      <c r="Q42" s="151"/>
      <c r="R42" s="153"/>
      <c r="S42" s="151"/>
      <c r="T42" s="116"/>
      <c r="U42" s="116"/>
      <c r="V42" s="116"/>
      <c r="W42" s="156"/>
      <c r="X42" s="156"/>
      <c r="Y42" s="164"/>
      <c r="Z42" s="164"/>
      <c r="AA42" s="168"/>
      <c r="AB42" s="164"/>
      <c r="AC42" s="165"/>
      <c r="AD42" s="166"/>
      <c r="AE42" s="167"/>
      <c r="AF42" s="167"/>
      <c r="AG42" s="188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5"/>
      <c r="AT42" s="195"/>
      <c r="AU42" s="189"/>
      <c r="AV42" s="189"/>
      <c r="AW42" s="151" t="e">
        <f>(#REF!-#REF!)/#REF!</f>
        <v>#REF!</v>
      </c>
      <c r="AX42" s="151" t="e">
        <f>#REF!/#REF!</f>
        <v>#REF!</v>
      </c>
      <c r="AY42" s="151" t="e">
        <f>(#REF!-#REF!)/#REF!</f>
        <v>#REF!</v>
      </c>
      <c r="AZ42" s="151"/>
      <c r="BA42" s="151"/>
      <c r="BB42" s="151"/>
      <c r="BC42" s="157"/>
      <c r="BD42" s="157"/>
      <c r="BE42" s="157"/>
      <c r="BF42" s="157"/>
      <c r="BG42" s="157"/>
      <c r="BH42" s="157"/>
      <c r="BI42" s="170"/>
      <c r="BJ42" s="170"/>
      <c r="BK42" s="170"/>
      <c r="BL42" s="162">
        <f>BD29/BC29-1</f>
        <v>0.37513563141640915</v>
      </c>
    </row>
    <row r="43" spans="1:64" s="85" customFormat="1" ht="33.75" customHeight="1">
      <c r="A43" s="135"/>
      <c r="B43" s="87"/>
      <c r="C43" s="87"/>
      <c r="D43" s="87"/>
      <c r="E43" s="87"/>
      <c r="F43" s="87"/>
      <c r="G43" s="87"/>
      <c r="H43" s="136"/>
      <c r="I43" s="136"/>
      <c r="J43" s="136"/>
      <c r="K43" s="144"/>
      <c r="L43" s="87"/>
      <c r="M43" s="145"/>
      <c r="N43" s="145"/>
      <c r="O43" s="87"/>
      <c r="P43" s="87"/>
      <c r="Q43" s="151"/>
      <c r="R43" s="151"/>
      <c r="S43" s="151"/>
      <c r="T43" s="151"/>
      <c r="U43" s="151"/>
      <c r="V43" s="151"/>
      <c r="W43" s="157"/>
      <c r="X43" s="157"/>
      <c r="Y43" s="157"/>
      <c r="Z43" s="157"/>
      <c r="AA43" s="168"/>
      <c r="AB43" s="164"/>
      <c r="AC43" s="169"/>
      <c r="AD43" s="170"/>
      <c r="AE43" s="167"/>
      <c r="AF43" s="167"/>
      <c r="AG43" s="188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5"/>
      <c r="AT43" s="195"/>
      <c r="AU43" s="189"/>
      <c r="AV43" s="189"/>
      <c r="AW43" s="151"/>
      <c r="AX43" s="153"/>
      <c r="AY43" s="151"/>
      <c r="AZ43" s="114">
        <v>0</v>
      </c>
      <c r="BA43" s="151" t="e">
        <f>#REF!/#REF!</f>
        <v>#REF!</v>
      </c>
      <c r="BB43" s="151" t="e">
        <f>(#REF!-#REF!)/#REF!</f>
        <v>#REF!</v>
      </c>
      <c r="BC43" s="157"/>
      <c r="BD43" s="157"/>
      <c r="BE43" s="157"/>
      <c r="BF43" s="157"/>
      <c r="BG43" s="157"/>
      <c r="BH43" s="157"/>
      <c r="BI43" s="170"/>
      <c r="BJ43" s="170"/>
      <c r="BK43" s="170"/>
      <c r="BL43" s="162"/>
    </row>
    <row r="44" spans="1:64" s="85" customFormat="1" ht="33.75" customHeight="1">
      <c r="A44" s="135"/>
      <c r="B44" s="87"/>
      <c r="C44" s="87"/>
      <c r="D44" s="87"/>
      <c r="E44" s="87"/>
      <c r="F44" s="87"/>
      <c r="G44" s="87"/>
      <c r="H44" s="136"/>
      <c r="I44" s="136"/>
      <c r="J44" s="136"/>
      <c r="K44" s="144"/>
      <c r="L44" s="87"/>
      <c r="M44" s="145" t="e">
        <f>M39/K39</f>
        <v>#REF!</v>
      </c>
      <c r="N44" s="145"/>
      <c r="O44" s="87"/>
      <c r="P44" s="87"/>
      <c r="Q44" s="151"/>
      <c r="R44" s="151"/>
      <c r="S44" s="151"/>
      <c r="T44" s="151"/>
      <c r="U44" s="151"/>
      <c r="V44" s="151"/>
      <c r="W44" s="157"/>
      <c r="X44" s="157"/>
      <c r="Y44" s="157"/>
      <c r="Z44" s="157"/>
      <c r="AA44" s="157"/>
      <c r="AB44" s="157"/>
      <c r="AC44" s="169"/>
      <c r="AD44" s="170"/>
      <c r="AE44" s="167"/>
      <c r="AF44" s="167"/>
      <c r="AG44" s="188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5"/>
      <c r="AT44" s="195"/>
      <c r="AU44" s="189"/>
      <c r="AV44" s="189"/>
      <c r="AW44" s="151" t="e">
        <f>(AN39-AL39)/AL39</f>
        <v>#REF!</v>
      </c>
      <c r="AX44" s="151" t="e">
        <f>AN39/AM39</f>
        <v>#REF!</v>
      </c>
      <c r="AY44" s="151" t="e">
        <f>(AO39-AN39)/AN39</f>
        <v>#REF!</v>
      </c>
      <c r="AZ44" s="151"/>
      <c r="BA44" s="151"/>
      <c r="BB44" s="151"/>
      <c r="BC44" s="157"/>
      <c r="BD44" s="157"/>
      <c r="BE44" s="157"/>
      <c r="BF44" s="157"/>
      <c r="BG44" s="157"/>
      <c r="BH44" s="157"/>
      <c r="BI44" s="170"/>
      <c r="BJ44" s="170"/>
      <c r="BK44" s="170"/>
      <c r="BL44" s="162"/>
    </row>
    <row r="45" spans="1:64" s="85" customFormat="1" ht="33.75" customHeight="1">
      <c r="A45" s="135"/>
      <c r="B45" s="87"/>
      <c r="C45" s="87"/>
      <c r="D45" s="87"/>
      <c r="E45" s="87"/>
      <c r="F45" s="87"/>
      <c r="G45" s="87"/>
      <c r="H45" s="136"/>
      <c r="I45" s="136"/>
      <c r="J45" s="136"/>
      <c r="K45" s="146"/>
      <c r="L45" s="87"/>
      <c r="M45" s="145"/>
      <c r="N45" s="145"/>
      <c r="O45" s="87"/>
      <c r="P45" s="87"/>
      <c r="Q45" s="151"/>
      <c r="R45" s="154"/>
      <c r="S45" s="151"/>
      <c r="T45" s="116"/>
      <c r="U45" s="151" t="e">
        <f>F39/E39</f>
        <v>#REF!</v>
      </c>
      <c r="V45" s="151" t="e">
        <f>(G39-F39)/F39</f>
        <v>#REF!</v>
      </c>
      <c r="W45" s="157"/>
      <c r="X45" s="157"/>
      <c r="Y45" s="171"/>
      <c r="Z45" s="171"/>
      <c r="AA45" s="171"/>
      <c r="AB45" s="171"/>
      <c r="AC45" s="169"/>
      <c r="AD45" s="170"/>
      <c r="AE45" s="167"/>
      <c r="AF45" s="167"/>
      <c r="AG45" s="188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5"/>
      <c r="AT45" s="195"/>
      <c r="AU45" s="189"/>
      <c r="AV45" s="189"/>
      <c r="AW45" s="199"/>
      <c r="AX45" s="199"/>
      <c r="AY45" s="199"/>
      <c r="AZ45" s="151" t="e">
        <f>(AL39-AJ39)/AJ39</f>
        <v>#REF!</v>
      </c>
      <c r="BA45" s="151" t="e">
        <f>AL39/AK39</f>
        <v>#REF!</v>
      </c>
      <c r="BB45" s="151" t="e">
        <f>(AM39-AL39)/AL39</f>
        <v>#REF!</v>
      </c>
      <c r="BC45" s="157"/>
      <c r="BD45" s="157"/>
      <c r="BE45" s="157"/>
      <c r="BF45" s="157"/>
      <c r="BG45" s="157"/>
      <c r="BH45" s="157"/>
      <c r="BI45" s="170"/>
      <c r="BJ45" s="170"/>
      <c r="BK45" s="170"/>
      <c r="BL45" s="162"/>
    </row>
    <row r="46" spans="1:64" s="85" customFormat="1" ht="33.75" customHeight="1">
      <c r="A46" s="135"/>
      <c r="B46" s="87"/>
      <c r="C46" s="87"/>
      <c r="D46" s="87"/>
      <c r="E46" s="87"/>
      <c r="F46" s="87"/>
      <c r="G46" s="87"/>
      <c r="H46" s="136"/>
      <c r="I46" s="136"/>
      <c r="J46" s="136"/>
      <c r="K46" s="147"/>
      <c r="L46" s="87"/>
      <c r="M46" s="145"/>
      <c r="N46" s="145"/>
      <c r="O46" s="87"/>
      <c r="P46" s="87"/>
      <c r="Q46" s="151"/>
      <c r="R46" s="153"/>
      <c r="S46" s="151"/>
      <c r="T46" s="116"/>
      <c r="U46" s="158"/>
      <c r="V46" s="158"/>
      <c r="W46" s="158"/>
      <c r="X46" s="158"/>
      <c r="Y46" s="158"/>
      <c r="Z46" s="158"/>
      <c r="AA46" s="158"/>
      <c r="AB46" s="158"/>
      <c r="AC46" s="172"/>
      <c r="AD46" s="173"/>
      <c r="AE46" s="173"/>
      <c r="AF46" s="173"/>
      <c r="AG46" s="188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5"/>
      <c r="AT46" s="195"/>
      <c r="AU46" s="189"/>
      <c r="AV46" s="189"/>
      <c r="AW46" s="199"/>
      <c r="AX46" s="199"/>
      <c r="AY46" s="199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162"/>
    </row>
    <row r="47" spans="1:64" s="85" customFormat="1" ht="33.75" customHeight="1">
      <c r="A47" s="135"/>
      <c r="B47" s="87"/>
      <c r="C47" s="87"/>
      <c r="D47" s="87"/>
      <c r="E47" s="87"/>
      <c r="F47" s="87"/>
      <c r="G47" s="87"/>
      <c r="H47" s="136"/>
      <c r="I47" s="136"/>
      <c r="J47" s="136"/>
      <c r="K47" s="147"/>
      <c r="L47" s="87"/>
      <c r="M47" s="145"/>
      <c r="N47" s="145"/>
      <c r="O47" s="87"/>
      <c r="P47" s="87"/>
      <c r="Q47" s="151" t="e">
        <f>(H39-F39)/F39</f>
        <v>#REF!</v>
      </c>
      <c r="R47" s="159" t="e">
        <f>H39/G39</f>
        <v>#REF!</v>
      </c>
      <c r="S47" s="151" t="e">
        <f>(I39-H39)/H39</f>
        <v>#REF!</v>
      </c>
      <c r="T47" s="151"/>
      <c r="U47" s="158"/>
      <c r="V47" s="158"/>
      <c r="W47" s="158"/>
      <c r="X47" s="158"/>
      <c r="Y47" s="158"/>
      <c r="Z47" s="158"/>
      <c r="AA47" s="158"/>
      <c r="AB47" s="158"/>
      <c r="AC47" s="172"/>
      <c r="AD47" s="173"/>
      <c r="AE47" s="173"/>
      <c r="AF47" s="173"/>
      <c r="AG47" s="188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5"/>
      <c r="AT47" s="195"/>
      <c r="AU47" s="189"/>
      <c r="AV47" s="189"/>
      <c r="AW47" s="199"/>
      <c r="AX47" s="199"/>
      <c r="AY47" s="199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162"/>
    </row>
    <row r="48" spans="1:64" s="85" customFormat="1" ht="33.75" customHeight="1">
      <c r="A48" s="135"/>
      <c r="B48" s="87"/>
      <c r="C48" s="87"/>
      <c r="D48" s="87"/>
      <c r="E48" s="87"/>
      <c r="F48" s="87"/>
      <c r="G48" s="87"/>
      <c r="H48" s="136"/>
      <c r="I48" s="136"/>
      <c r="J48" s="136"/>
      <c r="K48" s="136"/>
      <c r="L48" s="87"/>
      <c r="M48" s="145"/>
      <c r="N48" s="145"/>
      <c r="O48" s="87"/>
      <c r="P48" s="87"/>
      <c r="Q48" s="158"/>
      <c r="R48" s="158"/>
      <c r="S48" s="158"/>
      <c r="T48" s="151" t="e">
        <f>(F39-D39)/D39</f>
        <v>#REF!</v>
      </c>
      <c r="U48" s="158"/>
      <c r="V48" s="158"/>
      <c r="W48" s="158"/>
      <c r="X48" s="158"/>
      <c r="Y48" s="158"/>
      <c r="Z48" s="158"/>
      <c r="AA48" s="158"/>
      <c r="AB48" s="158"/>
      <c r="AC48" s="172"/>
      <c r="AD48" s="173"/>
      <c r="AE48" s="173"/>
      <c r="AF48" s="173"/>
      <c r="AG48" s="188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5"/>
      <c r="AT48" s="195"/>
      <c r="AU48" s="189"/>
      <c r="AV48" s="189"/>
      <c r="AW48" s="199"/>
      <c r="AX48" s="199"/>
      <c r="AY48" s="199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162"/>
    </row>
    <row r="49" spans="1:64" s="85" customFormat="1" ht="33.75" customHeight="1">
      <c r="A49" s="135"/>
      <c r="B49" s="87"/>
      <c r="C49" s="87"/>
      <c r="D49" s="87"/>
      <c r="E49" s="87"/>
      <c r="F49" s="87"/>
      <c r="G49" s="87"/>
      <c r="H49" s="136"/>
      <c r="I49" s="136"/>
      <c r="J49" s="136"/>
      <c r="K49" s="136"/>
      <c r="L49" s="87"/>
      <c r="M49" s="145"/>
      <c r="N49" s="145"/>
      <c r="O49" s="87"/>
      <c r="P49" s="87"/>
      <c r="Q49" s="158"/>
      <c r="R49" s="158"/>
      <c r="S49" s="158"/>
      <c r="T49" s="87"/>
      <c r="U49" s="158"/>
      <c r="V49" s="158"/>
      <c r="W49" s="158"/>
      <c r="X49" s="158"/>
      <c r="Y49" s="158"/>
      <c r="Z49" s="158"/>
      <c r="AA49" s="158"/>
      <c r="AB49" s="158"/>
      <c r="AC49" s="172"/>
      <c r="AD49" s="173"/>
      <c r="AE49" s="173"/>
      <c r="AF49" s="173"/>
      <c r="AG49" s="188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5"/>
      <c r="AT49" s="195"/>
      <c r="AU49" s="189"/>
      <c r="AV49" s="189"/>
      <c r="AW49" s="199"/>
      <c r="AX49" s="199"/>
      <c r="AY49" s="199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162"/>
    </row>
    <row r="50" spans="1:64" s="85" customFormat="1" ht="33.75" customHeight="1">
      <c r="A50" s="135"/>
      <c r="B50" s="87"/>
      <c r="C50" s="87"/>
      <c r="D50" s="87"/>
      <c r="E50" s="87"/>
      <c r="F50" s="87"/>
      <c r="G50" s="87"/>
      <c r="H50" s="136"/>
      <c r="I50" s="136"/>
      <c r="J50" s="136"/>
      <c r="K50" s="136"/>
      <c r="L50" s="87"/>
      <c r="M50" s="145"/>
      <c r="N50" s="145"/>
      <c r="O50" s="87"/>
      <c r="P50" s="87"/>
      <c r="Q50" s="158"/>
      <c r="R50" s="158"/>
      <c r="S50" s="158"/>
      <c r="T50" s="87"/>
      <c r="U50" s="158"/>
      <c r="V50" s="158"/>
      <c r="W50" s="158"/>
      <c r="X50" s="158"/>
      <c r="Y50" s="158"/>
      <c r="Z50" s="158"/>
      <c r="AA50" s="158"/>
      <c r="AB50" s="158"/>
      <c r="AC50" s="172"/>
      <c r="AD50" s="173"/>
      <c r="AE50" s="173"/>
      <c r="AF50" s="173"/>
      <c r="AG50" s="135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5"/>
      <c r="AT50" s="195"/>
      <c r="AU50" s="189"/>
      <c r="AV50" s="189"/>
      <c r="AW50" s="199"/>
      <c r="AX50" s="199"/>
      <c r="AY50" s="199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162"/>
    </row>
    <row r="51" spans="1:64" s="85" customFormat="1" ht="33.75" customHeight="1">
      <c r="A51" s="135"/>
      <c r="B51" s="87"/>
      <c r="C51" s="87"/>
      <c r="D51" s="87"/>
      <c r="E51" s="87"/>
      <c r="F51" s="87"/>
      <c r="G51" s="87"/>
      <c r="H51" s="136"/>
      <c r="I51" s="136"/>
      <c r="J51" s="136"/>
      <c r="K51" s="136"/>
      <c r="L51" s="87"/>
      <c r="M51" s="145"/>
      <c r="N51" s="145"/>
      <c r="O51" s="87"/>
      <c r="P51" s="87"/>
      <c r="Q51" s="158"/>
      <c r="R51" s="158"/>
      <c r="S51" s="158"/>
      <c r="T51" s="87"/>
      <c r="U51" s="158"/>
      <c r="V51" s="158"/>
      <c r="W51" s="158"/>
      <c r="X51" s="158"/>
      <c r="Y51" s="158"/>
      <c r="Z51" s="158"/>
      <c r="AA51" s="158"/>
      <c r="AB51" s="158"/>
      <c r="AC51" s="172"/>
      <c r="AD51" s="173"/>
      <c r="AE51" s="173"/>
      <c r="AF51" s="173"/>
      <c r="AG51" s="135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5"/>
      <c r="AT51" s="195"/>
      <c r="AU51" s="189"/>
      <c r="AV51" s="189"/>
      <c r="AW51" s="199"/>
      <c r="AX51" s="199"/>
      <c r="AY51" s="199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162" t="e">
        <f>#REF!/#REF!-1</f>
        <v>#REF!</v>
      </c>
    </row>
    <row r="52" spans="1:64" s="85" customFormat="1" ht="33.75" customHeight="1">
      <c r="A52" s="135"/>
      <c r="B52" s="87"/>
      <c r="C52" s="87"/>
      <c r="D52" s="87"/>
      <c r="E52" s="87"/>
      <c r="F52" s="87"/>
      <c r="G52" s="87"/>
      <c r="H52" s="136"/>
      <c r="I52" s="136"/>
      <c r="J52" s="136"/>
      <c r="K52" s="136"/>
      <c r="L52" s="87"/>
      <c r="M52" s="145"/>
      <c r="N52" s="145"/>
      <c r="O52" s="87"/>
      <c r="P52" s="87"/>
      <c r="Q52" s="158"/>
      <c r="R52" s="158"/>
      <c r="S52" s="158"/>
      <c r="T52" s="87"/>
      <c r="U52" s="158"/>
      <c r="V52" s="158"/>
      <c r="W52" s="158"/>
      <c r="X52" s="158"/>
      <c r="Y52" s="158"/>
      <c r="Z52" s="158"/>
      <c r="AA52" s="158"/>
      <c r="AB52" s="158"/>
      <c r="AC52" s="172"/>
      <c r="AD52" s="173"/>
      <c r="AE52" s="173"/>
      <c r="AF52" s="173"/>
      <c r="AG52" s="135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5"/>
      <c r="AT52" s="195"/>
      <c r="AU52" s="189"/>
      <c r="AV52" s="189"/>
      <c r="AW52" s="199"/>
      <c r="AX52" s="199"/>
      <c r="AY52" s="199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162">
        <f>BD30/BC30-1</f>
        <v>21.209883398112158</v>
      </c>
    </row>
    <row r="53" spans="1:64" s="85" customFormat="1" ht="33.75" customHeight="1">
      <c r="A53" s="135"/>
      <c r="B53" s="87"/>
      <c r="C53" s="87"/>
      <c r="D53" s="87"/>
      <c r="E53" s="87"/>
      <c r="F53" s="87"/>
      <c r="G53" s="87"/>
      <c r="H53" s="136"/>
      <c r="I53" s="136"/>
      <c r="J53" s="136"/>
      <c r="K53" s="136"/>
      <c r="L53" s="87"/>
      <c r="M53" s="145"/>
      <c r="N53" s="145"/>
      <c r="O53" s="87"/>
      <c r="P53" s="87"/>
      <c r="Q53" s="158"/>
      <c r="R53" s="158"/>
      <c r="S53" s="158"/>
      <c r="T53" s="87"/>
      <c r="U53" s="158"/>
      <c r="V53" s="158"/>
      <c r="W53" s="158"/>
      <c r="X53" s="158"/>
      <c r="Y53" s="158"/>
      <c r="Z53" s="158"/>
      <c r="AA53" s="158"/>
      <c r="AB53" s="158"/>
      <c r="AC53" s="172"/>
      <c r="AD53" s="173"/>
      <c r="AE53" s="173"/>
      <c r="AF53" s="173"/>
      <c r="AG53" s="135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5"/>
      <c r="AT53" s="195"/>
      <c r="AU53" s="189"/>
      <c r="AV53" s="189"/>
      <c r="AW53" s="199"/>
      <c r="AX53" s="199"/>
      <c r="AY53" s="199"/>
      <c r="AZ53" s="189"/>
      <c r="BA53" s="199"/>
      <c r="BB53" s="199"/>
      <c r="BC53" s="199"/>
      <c r="BD53" s="199"/>
      <c r="BE53" s="199"/>
      <c r="BF53" s="199"/>
      <c r="BG53" s="199"/>
      <c r="BH53" s="199"/>
      <c r="BI53" s="200"/>
      <c r="BJ53" s="200"/>
      <c r="BK53" s="200"/>
      <c r="BL53" s="162">
        <f>BD31/BC31-1</f>
        <v>-0.37853107344632764</v>
      </c>
    </row>
    <row r="54" spans="1:64" s="85" customFormat="1" ht="33.75" customHeight="1">
      <c r="A54" s="135"/>
      <c r="B54" s="87"/>
      <c r="C54" s="87"/>
      <c r="D54" s="87"/>
      <c r="E54" s="87"/>
      <c r="F54" s="87"/>
      <c r="G54" s="87"/>
      <c r="H54" s="136"/>
      <c r="I54" s="136"/>
      <c r="J54" s="136"/>
      <c r="K54" s="136"/>
      <c r="L54" s="87"/>
      <c r="M54" s="145"/>
      <c r="N54" s="145"/>
      <c r="O54" s="87"/>
      <c r="P54" s="87"/>
      <c r="Q54" s="158"/>
      <c r="R54" s="158"/>
      <c r="S54" s="158"/>
      <c r="T54" s="87"/>
      <c r="U54" s="158"/>
      <c r="V54" s="158"/>
      <c r="W54" s="158"/>
      <c r="X54" s="158"/>
      <c r="Y54" s="158"/>
      <c r="Z54" s="158"/>
      <c r="AA54" s="158"/>
      <c r="AB54" s="158"/>
      <c r="AC54" s="172"/>
      <c r="AD54" s="173"/>
      <c r="AE54" s="173"/>
      <c r="AF54" s="173"/>
      <c r="AG54" s="88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6"/>
      <c r="AT54" s="196"/>
      <c r="AU54" s="190"/>
      <c r="AV54" s="190"/>
      <c r="AW54" s="199"/>
      <c r="AX54" s="199"/>
      <c r="AY54" s="199"/>
      <c r="AZ54" s="189"/>
      <c r="BA54" s="199"/>
      <c r="BB54" s="199"/>
      <c r="BC54" s="199"/>
      <c r="BD54" s="199"/>
      <c r="BE54" s="199"/>
      <c r="BF54" s="199"/>
      <c r="BG54" s="199"/>
      <c r="BH54" s="199"/>
      <c r="BI54" s="200"/>
      <c r="BJ54" s="200"/>
      <c r="BK54" s="200"/>
      <c r="BL54" s="162"/>
    </row>
    <row r="55" spans="1:64" s="85" customFormat="1" ht="33.75" customHeight="1">
      <c r="A55" s="135"/>
      <c r="B55" s="87"/>
      <c r="C55" s="87"/>
      <c r="D55" s="87"/>
      <c r="E55" s="87"/>
      <c r="F55" s="87"/>
      <c r="G55" s="87"/>
      <c r="H55" s="136"/>
      <c r="I55" s="136"/>
      <c r="J55" s="136"/>
      <c r="K55" s="136"/>
      <c r="L55" s="87"/>
      <c r="M55" s="145"/>
      <c r="N55" s="145"/>
      <c r="O55" s="87"/>
      <c r="P55" s="87"/>
      <c r="Q55" s="158"/>
      <c r="R55" s="158"/>
      <c r="S55" s="158"/>
      <c r="T55" s="87"/>
      <c r="U55" s="158"/>
      <c r="V55" s="158"/>
      <c r="W55" s="158"/>
      <c r="X55" s="158"/>
      <c r="Y55" s="158"/>
      <c r="Z55" s="158"/>
      <c r="AA55" s="158"/>
      <c r="AB55" s="158"/>
      <c r="AC55" s="172"/>
      <c r="AD55" s="173"/>
      <c r="AE55" s="173"/>
      <c r="AF55" s="173"/>
      <c r="AG55" s="88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6"/>
      <c r="AT55" s="196"/>
      <c r="AU55" s="190"/>
      <c r="AV55" s="190"/>
      <c r="AW55" s="199"/>
      <c r="AX55" s="199"/>
      <c r="AY55" s="199"/>
      <c r="AZ55" s="189"/>
      <c r="BA55" s="199"/>
      <c r="BB55" s="199"/>
      <c r="BC55" s="199"/>
      <c r="BD55" s="199"/>
      <c r="BE55" s="199"/>
      <c r="BF55" s="199"/>
      <c r="BG55" s="199"/>
      <c r="BH55" s="199"/>
      <c r="BI55" s="200"/>
      <c r="BJ55" s="200"/>
      <c r="BK55" s="200"/>
      <c r="BL55" s="162"/>
    </row>
    <row r="56" spans="1:64" s="85" customFormat="1" ht="33.75" customHeight="1">
      <c r="A56" s="135"/>
      <c r="B56" s="87"/>
      <c r="C56" s="87"/>
      <c r="D56" s="87"/>
      <c r="E56" s="87"/>
      <c r="F56" s="87"/>
      <c r="G56" s="87"/>
      <c r="H56" s="136"/>
      <c r="I56" s="136"/>
      <c r="J56" s="136"/>
      <c r="K56" s="136"/>
      <c r="L56" s="87"/>
      <c r="M56" s="145"/>
      <c r="N56" s="145"/>
      <c r="O56" s="87"/>
      <c r="P56" s="87"/>
      <c r="Q56" s="158"/>
      <c r="R56" s="158"/>
      <c r="S56" s="158"/>
      <c r="T56" s="87"/>
      <c r="U56" s="158"/>
      <c r="V56" s="158"/>
      <c r="W56" s="158"/>
      <c r="X56" s="158"/>
      <c r="Y56" s="158"/>
      <c r="Z56" s="158"/>
      <c r="AA56" s="158"/>
      <c r="AB56" s="158"/>
      <c r="AC56" s="172"/>
      <c r="AD56" s="173"/>
      <c r="AE56" s="173"/>
      <c r="AF56" s="173"/>
      <c r="AG56" s="88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6"/>
      <c r="AT56" s="196"/>
      <c r="AU56" s="190"/>
      <c r="AV56" s="190"/>
      <c r="AW56" s="199"/>
      <c r="AX56" s="199"/>
      <c r="AY56" s="199"/>
      <c r="AZ56" s="189"/>
      <c r="BA56" s="199"/>
      <c r="BB56" s="199"/>
      <c r="BC56" s="199"/>
      <c r="BD56" s="199"/>
      <c r="BE56" s="199"/>
      <c r="BF56" s="199"/>
      <c r="BG56" s="199"/>
      <c r="BH56" s="199"/>
      <c r="BI56" s="200"/>
      <c r="BJ56" s="200"/>
      <c r="BK56" s="200"/>
      <c r="BL56" s="162"/>
    </row>
    <row r="57" spans="1:64" s="85" customFormat="1" ht="33.75" customHeight="1">
      <c r="A57" s="88"/>
      <c r="B57" s="89"/>
      <c r="C57" s="89"/>
      <c r="D57" s="89"/>
      <c r="E57" s="89"/>
      <c r="F57" s="89"/>
      <c r="G57" s="89"/>
      <c r="H57" s="90"/>
      <c r="I57" s="90"/>
      <c r="J57" s="90"/>
      <c r="K57" s="90"/>
      <c r="L57" s="89"/>
      <c r="M57" s="91"/>
      <c r="N57" s="91"/>
      <c r="O57" s="89"/>
      <c r="P57" s="89"/>
      <c r="Q57" s="158"/>
      <c r="R57" s="158"/>
      <c r="S57" s="158"/>
      <c r="T57" s="87"/>
      <c r="U57" s="158"/>
      <c r="V57" s="158"/>
      <c r="W57" s="158"/>
      <c r="X57" s="158"/>
      <c r="Y57" s="158"/>
      <c r="Z57" s="158"/>
      <c r="AA57" s="158"/>
      <c r="AB57" s="158"/>
      <c r="AC57" s="172"/>
      <c r="AD57" s="173"/>
      <c r="AE57" s="173"/>
      <c r="AF57" s="173"/>
      <c r="AG57" s="88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6"/>
      <c r="AT57" s="196"/>
      <c r="AU57" s="190"/>
      <c r="AV57" s="190"/>
      <c r="AW57" s="199"/>
      <c r="AX57" s="199"/>
      <c r="AY57" s="199"/>
      <c r="AZ57" s="189"/>
      <c r="BA57" s="199"/>
      <c r="BB57" s="199"/>
      <c r="BC57" s="199"/>
      <c r="BD57" s="199"/>
      <c r="BE57" s="199"/>
      <c r="BF57" s="199"/>
      <c r="BG57" s="199"/>
      <c r="BH57" s="199"/>
      <c r="BI57" s="200"/>
      <c r="BJ57" s="200"/>
      <c r="BK57" s="200"/>
      <c r="BL57" s="162"/>
    </row>
    <row r="58" spans="1:64" s="85" customFormat="1" ht="33.75" customHeight="1">
      <c r="A58" s="88"/>
      <c r="B58" s="89"/>
      <c r="C58" s="89"/>
      <c r="D58" s="89"/>
      <c r="E58" s="89"/>
      <c r="F58" s="89"/>
      <c r="G58" s="89"/>
      <c r="H58" s="90"/>
      <c r="I58" s="90"/>
      <c r="J58" s="90"/>
      <c r="K58" s="90"/>
      <c r="L58" s="89"/>
      <c r="M58" s="91"/>
      <c r="N58" s="91"/>
      <c r="O58" s="89"/>
      <c r="P58" s="89"/>
      <c r="Q58" s="158"/>
      <c r="R58" s="158"/>
      <c r="S58" s="158"/>
      <c r="T58" s="87"/>
      <c r="U58" s="158"/>
      <c r="V58" s="158"/>
      <c r="W58" s="158"/>
      <c r="X58" s="158"/>
      <c r="Y58" s="158"/>
      <c r="Z58" s="158"/>
      <c r="AA58" s="158"/>
      <c r="AB58" s="158"/>
      <c r="AC58" s="172"/>
      <c r="AD58" s="173"/>
      <c r="AE58" s="173"/>
      <c r="AF58" s="173"/>
      <c r="AG58" s="88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6"/>
      <c r="AT58" s="196"/>
      <c r="AU58" s="190"/>
      <c r="AV58" s="190"/>
      <c r="AW58" s="199"/>
      <c r="AX58" s="199"/>
      <c r="AY58" s="199"/>
      <c r="AZ58" s="189"/>
      <c r="BA58" s="199"/>
      <c r="BB58" s="199"/>
      <c r="BC58" s="199"/>
      <c r="BD58" s="199"/>
      <c r="BE58" s="199"/>
      <c r="BF58" s="199"/>
      <c r="BG58" s="199"/>
      <c r="BH58" s="199"/>
      <c r="BI58" s="200"/>
      <c r="BJ58" s="200"/>
      <c r="BK58" s="200"/>
      <c r="BL58" s="162"/>
    </row>
    <row r="59" spans="1:64" s="85" customFormat="1" ht="33.75" customHeight="1">
      <c r="A59" s="88"/>
      <c r="B59" s="89"/>
      <c r="C59" s="89"/>
      <c r="D59" s="89"/>
      <c r="E59" s="89"/>
      <c r="F59" s="89"/>
      <c r="G59" s="89"/>
      <c r="H59" s="90"/>
      <c r="I59" s="90"/>
      <c r="J59" s="90"/>
      <c r="K59" s="90"/>
      <c r="L59" s="89"/>
      <c r="M59" s="91"/>
      <c r="N59" s="91"/>
      <c r="O59" s="89"/>
      <c r="P59" s="89"/>
      <c r="Q59" s="158"/>
      <c r="R59" s="158"/>
      <c r="S59" s="158"/>
      <c r="T59" s="87"/>
      <c r="U59" s="158"/>
      <c r="V59" s="158"/>
      <c r="W59" s="158"/>
      <c r="X59" s="158"/>
      <c r="Y59" s="158"/>
      <c r="Z59" s="158"/>
      <c r="AA59" s="158"/>
      <c r="AB59" s="158"/>
      <c r="AC59" s="172"/>
      <c r="AD59" s="173"/>
      <c r="AE59" s="173"/>
      <c r="AF59" s="173"/>
      <c r="AG59" s="88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6"/>
      <c r="AT59" s="196"/>
      <c r="AU59" s="190"/>
      <c r="AV59" s="190"/>
      <c r="AW59" s="201"/>
      <c r="AX59" s="201"/>
      <c r="AY59" s="201"/>
      <c r="AZ59" s="189"/>
      <c r="BA59" s="199"/>
      <c r="BB59" s="199"/>
      <c r="BC59" s="199"/>
      <c r="BD59" s="199"/>
      <c r="BE59" s="199"/>
      <c r="BF59" s="199"/>
      <c r="BG59" s="199"/>
      <c r="BH59" s="199"/>
      <c r="BI59" s="200"/>
      <c r="BJ59" s="200"/>
      <c r="BK59" s="200"/>
      <c r="BL59" s="203"/>
    </row>
    <row r="60" spans="1:64" s="85" customFormat="1" ht="33.75" customHeight="1">
      <c r="A60" s="88"/>
      <c r="B60" s="89"/>
      <c r="C60" s="89"/>
      <c r="D60" s="89"/>
      <c r="E60" s="89"/>
      <c r="F60" s="89"/>
      <c r="G60" s="89"/>
      <c r="H60" s="90"/>
      <c r="I60" s="90"/>
      <c r="J60" s="90"/>
      <c r="K60" s="90"/>
      <c r="L60" s="89"/>
      <c r="M60" s="91"/>
      <c r="N60" s="91"/>
      <c r="O60" s="89"/>
      <c r="P60" s="89"/>
      <c r="Q60" s="158"/>
      <c r="R60" s="158"/>
      <c r="S60" s="158"/>
      <c r="T60" s="87"/>
      <c r="U60" s="92"/>
      <c r="V60" s="92"/>
      <c r="W60" s="92"/>
      <c r="X60" s="92"/>
      <c r="Y60" s="92"/>
      <c r="Z60" s="92"/>
      <c r="AA60" s="92"/>
      <c r="AB60" s="92"/>
      <c r="AC60" s="93"/>
      <c r="AD60" s="94"/>
      <c r="AE60" s="94"/>
      <c r="AF60" s="94"/>
      <c r="AG60" s="88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6"/>
      <c r="AT60" s="196"/>
      <c r="AU60" s="190"/>
      <c r="AV60" s="190"/>
      <c r="AW60" s="201"/>
      <c r="AX60" s="201"/>
      <c r="AY60" s="201"/>
      <c r="AZ60" s="190"/>
      <c r="BA60" s="201"/>
      <c r="BB60" s="201"/>
      <c r="BC60" s="201"/>
      <c r="BD60" s="201"/>
      <c r="BE60" s="201"/>
      <c r="BF60" s="201"/>
      <c r="BG60" s="201"/>
      <c r="BH60" s="201"/>
      <c r="BI60" s="204"/>
      <c r="BJ60" s="204"/>
      <c r="BK60" s="204"/>
      <c r="BL60" s="160">
        <f>BD37/BC37-1</f>
        <v>0.657041129385572</v>
      </c>
    </row>
    <row r="61" spans="1:64" s="85" customFormat="1" ht="33.75" customHeight="1">
      <c r="A61" s="88"/>
      <c r="B61" s="89"/>
      <c r="C61" s="89"/>
      <c r="D61" s="89"/>
      <c r="E61" s="89"/>
      <c r="F61" s="89"/>
      <c r="G61" s="89"/>
      <c r="H61" s="90"/>
      <c r="I61" s="90"/>
      <c r="J61" s="90"/>
      <c r="K61" s="90"/>
      <c r="L61" s="89"/>
      <c r="M61" s="91"/>
      <c r="N61" s="91"/>
      <c r="O61" s="89"/>
      <c r="P61" s="89"/>
      <c r="Q61" s="158"/>
      <c r="R61" s="158"/>
      <c r="S61" s="158"/>
      <c r="T61" s="87"/>
      <c r="U61" s="92"/>
      <c r="V61" s="92"/>
      <c r="W61" s="92"/>
      <c r="X61" s="92"/>
      <c r="Y61" s="92"/>
      <c r="Z61" s="92"/>
      <c r="AA61" s="92"/>
      <c r="AB61" s="92"/>
      <c r="AC61" s="93"/>
      <c r="AD61" s="94"/>
      <c r="AE61" s="94"/>
      <c r="AF61" s="94"/>
      <c r="AG61" s="88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6"/>
      <c r="AT61" s="196"/>
      <c r="AU61" s="190"/>
      <c r="AV61" s="190"/>
      <c r="AW61" s="201"/>
      <c r="AX61" s="201"/>
      <c r="AY61" s="201"/>
      <c r="AZ61" s="190"/>
      <c r="BA61" s="201"/>
      <c r="BB61" s="201"/>
      <c r="BC61" s="201"/>
      <c r="BD61" s="201"/>
      <c r="BE61" s="201"/>
      <c r="BF61" s="201"/>
      <c r="BG61" s="201"/>
      <c r="BH61" s="201"/>
      <c r="BI61" s="204"/>
      <c r="BJ61" s="204"/>
      <c r="BK61" s="204"/>
      <c r="BL61" s="160"/>
    </row>
    <row r="62" spans="1:64" s="85" customFormat="1" ht="33.75" customHeight="1">
      <c r="A62" s="88"/>
      <c r="B62" s="89"/>
      <c r="C62" s="89"/>
      <c r="D62" s="89"/>
      <c r="E62" s="89"/>
      <c r="F62" s="89"/>
      <c r="G62" s="89"/>
      <c r="H62" s="90"/>
      <c r="I62" s="90"/>
      <c r="J62" s="90"/>
      <c r="K62" s="90"/>
      <c r="L62" s="89"/>
      <c r="M62" s="91"/>
      <c r="N62" s="91"/>
      <c r="O62" s="89"/>
      <c r="P62" s="89"/>
      <c r="Q62" s="92"/>
      <c r="R62" s="92"/>
      <c r="S62" s="92"/>
      <c r="T62" s="87"/>
      <c r="U62" s="92"/>
      <c r="V62" s="92"/>
      <c r="W62" s="92"/>
      <c r="X62" s="92"/>
      <c r="Y62" s="92"/>
      <c r="Z62" s="92"/>
      <c r="AA62" s="92"/>
      <c r="AB62" s="92"/>
      <c r="AC62" s="93"/>
      <c r="AD62" s="94"/>
      <c r="AE62" s="94"/>
      <c r="AF62" s="94"/>
      <c r="AG62" s="88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6"/>
      <c r="AT62" s="196"/>
      <c r="AU62" s="190"/>
      <c r="AV62" s="190"/>
      <c r="AW62" s="201"/>
      <c r="AX62" s="201"/>
      <c r="AY62" s="201"/>
      <c r="AZ62" s="190"/>
      <c r="BA62" s="201"/>
      <c r="BB62" s="201"/>
      <c r="BC62" s="201"/>
      <c r="BD62" s="201"/>
      <c r="BE62" s="201"/>
      <c r="BF62" s="201"/>
      <c r="BG62" s="201"/>
      <c r="BH62" s="201"/>
      <c r="BI62" s="204"/>
      <c r="BJ62" s="204"/>
      <c r="BK62" s="204"/>
      <c r="BL62" s="160">
        <f>BD39/BC39-1</f>
        <v>0.657041129385572</v>
      </c>
    </row>
    <row r="63" spans="1:64" s="85" customFormat="1" ht="33.75" customHeight="1">
      <c r="A63" s="88"/>
      <c r="B63" s="89"/>
      <c r="C63" s="89"/>
      <c r="D63" s="89"/>
      <c r="E63" s="89"/>
      <c r="F63" s="89"/>
      <c r="G63" s="89"/>
      <c r="H63" s="90"/>
      <c r="I63" s="90"/>
      <c r="J63" s="90"/>
      <c r="K63" s="90"/>
      <c r="L63" s="89"/>
      <c r="M63" s="91"/>
      <c r="N63" s="91"/>
      <c r="O63" s="89"/>
      <c r="P63" s="89"/>
      <c r="Q63" s="92"/>
      <c r="R63" s="92"/>
      <c r="S63" s="92"/>
      <c r="T63" s="89"/>
      <c r="U63" s="92"/>
      <c r="V63" s="92"/>
      <c r="W63" s="92"/>
      <c r="X63" s="92"/>
      <c r="Y63" s="92"/>
      <c r="Z63" s="92"/>
      <c r="AA63" s="92"/>
      <c r="AB63" s="92"/>
      <c r="AC63" s="93"/>
      <c r="AD63" s="94"/>
      <c r="AE63" s="94"/>
      <c r="AF63" s="94"/>
      <c r="AG63" s="88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6"/>
      <c r="AT63" s="196"/>
      <c r="AU63" s="190"/>
      <c r="AV63" s="190"/>
      <c r="AW63" s="201"/>
      <c r="AX63" s="201"/>
      <c r="AY63" s="201"/>
      <c r="AZ63" s="190"/>
      <c r="BA63" s="201"/>
      <c r="BB63" s="201"/>
      <c r="BC63" s="201"/>
      <c r="BD63" s="201"/>
      <c r="BE63" s="201"/>
      <c r="BF63" s="201"/>
      <c r="BG63" s="201"/>
      <c r="BH63" s="201"/>
      <c r="BI63" s="204"/>
      <c r="BJ63" s="204"/>
      <c r="BK63" s="204"/>
      <c r="BL63" s="169"/>
    </row>
    <row r="64" spans="1:64" s="86" customFormat="1" ht="33.75" customHeight="1">
      <c r="A64" s="88"/>
      <c r="B64" s="89"/>
      <c r="C64" s="89"/>
      <c r="D64" s="89"/>
      <c r="E64" s="89"/>
      <c r="F64" s="89"/>
      <c r="G64" s="89"/>
      <c r="H64" s="90"/>
      <c r="I64" s="90"/>
      <c r="J64" s="90"/>
      <c r="K64" s="90"/>
      <c r="L64" s="89"/>
      <c r="M64" s="91"/>
      <c r="N64" s="91"/>
      <c r="O64" s="89"/>
      <c r="P64" s="89"/>
      <c r="Q64" s="92"/>
      <c r="R64" s="92"/>
      <c r="S64" s="92"/>
      <c r="T64" s="89"/>
      <c r="U64" s="92"/>
      <c r="V64" s="92"/>
      <c r="W64" s="92"/>
      <c r="X64" s="92"/>
      <c r="Y64" s="92"/>
      <c r="Z64" s="92"/>
      <c r="AA64" s="92"/>
      <c r="AB64" s="92"/>
      <c r="AC64" s="93"/>
      <c r="AD64" s="94"/>
      <c r="AE64" s="94"/>
      <c r="AF64" s="94"/>
      <c r="AG64" s="88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6"/>
      <c r="AT64" s="196"/>
      <c r="AU64" s="190"/>
      <c r="AV64" s="190"/>
      <c r="AW64" s="201"/>
      <c r="AX64" s="201"/>
      <c r="AY64" s="201"/>
      <c r="AZ64" s="190"/>
      <c r="BA64" s="201"/>
      <c r="BB64" s="201"/>
      <c r="BC64" s="201"/>
      <c r="BD64" s="201"/>
      <c r="BE64" s="201"/>
      <c r="BF64" s="201"/>
      <c r="BG64" s="201"/>
      <c r="BH64" s="201"/>
      <c r="BI64" s="204"/>
      <c r="BJ64" s="204"/>
      <c r="BK64" s="204"/>
      <c r="BL64" s="169"/>
    </row>
    <row r="65" spans="1:64" s="85" customFormat="1" ht="33.75" customHeight="1">
      <c r="A65" s="88"/>
      <c r="B65" s="89"/>
      <c r="C65" s="89"/>
      <c r="D65" s="89"/>
      <c r="E65" s="89"/>
      <c r="F65" s="89"/>
      <c r="G65" s="89"/>
      <c r="H65" s="90"/>
      <c r="I65" s="90"/>
      <c r="J65" s="90"/>
      <c r="K65" s="90"/>
      <c r="L65" s="89"/>
      <c r="M65" s="91"/>
      <c r="N65" s="91"/>
      <c r="O65" s="89"/>
      <c r="P65" s="89"/>
      <c r="Q65" s="92"/>
      <c r="R65" s="92"/>
      <c r="S65" s="92"/>
      <c r="T65" s="89"/>
      <c r="U65" s="92"/>
      <c r="V65" s="92"/>
      <c r="W65" s="92"/>
      <c r="X65" s="92"/>
      <c r="Y65" s="92"/>
      <c r="Z65" s="92"/>
      <c r="AA65" s="92"/>
      <c r="AB65" s="92"/>
      <c r="AC65" s="93"/>
      <c r="AD65" s="94"/>
      <c r="AE65" s="94"/>
      <c r="AF65" s="94"/>
      <c r="AG65" s="88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6"/>
      <c r="AT65" s="196"/>
      <c r="AU65" s="190"/>
      <c r="AV65" s="190"/>
      <c r="AW65" s="201"/>
      <c r="AX65" s="201"/>
      <c r="AY65" s="201"/>
      <c r="AZ65" s="190"/>
      <c r="BA65" s="201"/>
      <c r="BB65" s="201"/>
      <c r="BC65" s="201"/>
      <c r="BD65" s="201"/>
      <c r="BE65" s="201"/>
      <c r="BF65" s="201"/>
      <c r="BG65" s="201"/>
      <c r="BH65" s="201"/>
      <c r="BI65" s="204"/>
      <c r="BJ65" s="204"/>
      <c r="BK65" s="204"/>
      <c r="BL65" s="169"/>
    </row>
    <row r="66" spans="1:64" s="85" customFormat="1" ht="33.75" customHeight="1">
      <c r="A66" s="88"/>
      <c r="B66" s="89"/>
      <c r="C66" s="89"/>
      <c r="D66" s="89"/>
      <c r="E66" s="89"/>
      <c r="F66" s="89"/>
      <c r="G66" s="89"/>
      <c r="H66" s="90"/>
      <c r="I66" s="90"/>
      <c r="J66" s="90"/>
      <c r="K66" s="90"/>
      <c r="L66" s="89"/>
      <c r="M66" s="91"/>
      <c r="N66" s="91"/>
      <c r="O66" s="89"/>
      <c r="P66" s="89"/>
      <c r="Q66" s="92"/>
      <c r="R66" s="92"/>
      <c r="S66" s="92"/>
      <c r="T66" s="89"/>
      <c r="U66" s="92"/>
      <c r="V66" s="92"/>
      <c r="W66" s="92"/>
      <c r="X66" s="92"/>
      <c r="Y66" s="92"/>
      <c r="Z66" s="92"/>
      <c r="AA66" s="92"/>
      <c r="AB66" s="92"/>
      <c r="AC66" s="93"/>
      <c r="AD66" s="94"/>
      <c r="AE66" s="94"/>
      <c r="AF66" s="94"/>
      <c r="AG66" s="88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6"/>
      <c r="AT66" s="196"/>
      <c r="AU66" s="190"/>
      <c r="AV66" s="190"/>
      <c r="AW66" s="201"/>
      <c r="AX66" s="201"/>
      <c r="AY66" s="201"/>
      <c r="AZ66" s="190"/>
      <c r="BA66" s="201"/>
      <c r="BB66" s="201"/>
      <c r="BC66" s="201"/>
      <c r="BD66" s="201"/>
      <c r="BE66" s="201"/>
      <c r="BF66" s="201"/>
      <c r="BG66" s="201"/>
      <c r="BH66" s="201"/>
      <c r="BI66" s="204"/>
      <c r="BJ66" s="204"/>
      <c r="BK66" s="204"/>
      <c r="BL66" s="169"/>
    </row>
    <row r="67" spans="1:64" s="85" customFormat="1" ht="33.75" customHeight="1">
      <c r="A67" s="88"/>
      <c r="B67" s="89"/>
      <c r="C67" s="89"/>
      <c r="D67" s="89"/>
      <c r="E67" s="89"/>
      <c r="F67" s="89"/>
      <c r="G67" s="89"/>
      <c r="H67" s="90"/>
      <c r="I67" s="90"/>
      <c r="J67" s="90"/>
      <c r="K67" s="90"/>
      <c r="L67" s="89"/>
      <c r="M67" s="91"/>
      <c r="N67" s="91"/>
      <c r="O67" s="89"/>
      <c r="P67" s="89"/>
      <c r="Q67" s="92"/>
      <c r="R67" s="92"/>
      <c r="S67" s="92"/>
      <c r="T67" s="89"/>
      <c r="U67" s="92"/>
      <c r="V67" s="92"/>
      <c r="W67" s="92"/>
      <c r="X67" s="92"/>
      <c r="Y67" s="92"/>
      <c r="Z67" s="92"/>
      <c r="AA67" s="92"/>
      <c r="AB67" s="92"/>
      <c r="AC67" s="93"/>
      <c r="AD67" s="94"/>
      <c r="AE67" s="94"/>
      <c r="AF67" s="94"/>
      <c r="AG67" s="88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6"/>
      <c r="AT67" s="196"/>
      <c r="AU67" s="190"/>
      <c r="AV67" s="190"/>
      <c r="AW67" s="201"/>
      <c r="AX67" s="201"/>
      <c r="AY67" s="201"/>
      <c r="AZ67" s="190"/>
      <c r="BA67" s="201"/>
      <c r="BB67" s="201"/>
      <c r="BC67" s="201"/>
      <c r="BD67" s="201"/>
      <c r="BE67" s="201"/>
      <c r="BF67" s="201"/>
      <c r="BG67" s="201"/>
      <c r="BH67" s="201"/>
      <c r="BI67" s="204"/>
      <c r="BJ67" s="204"/>
      <c r="BK67" s="204"/>
      <c r="BL67" s="169"/>
    </row>
    <row r="68" spans="1:64" s="85" customFormat="1" ht="33.75" customHeight="1">
      <c r="A68" s="88"/>
      <c r="B68" s="89"/>
      <c r="C68" s="89"/>
      <c r="D68" s="89"/>
      <c r="E68" s="89"/>
      <c r="F68" s="89"/>
      <c r="G68" s="89"/>
      <c r="H68" s="90"/>
      <c r="I68" s="90"/>
      <c r="J68" s="90"/>
      <c r="K68" s="90"/>
      <c r="L68" s="89"/>
      <c r="M68" s="91"/>
      <c r="N68" s="91"/>
      <c r="O68" s="89"/>
      <c r="P68" s="89"/>
      <c r="Q68" s="92"/>
      <c r="R68" s="92"/>
      <c r="S68" s="92"/>
      <c r="T68" s="89"/>
      <c r="U68" s="92"/>
      <c r="V68" s="92"/>
      <c r="W68" s="92"/>
      <c r="X68" s="92"/>
      <c r="Y68" s="92"/>
      <c r="Z68" s="92"/>
      <c r="AA68" s="92"/>
      <c r="AB68" s="92"/>
      <c r="AC68" s="93"/>
      <c r="AD68" s="94"/>
      <c r="AE68" s="94"/>
      <c r="AF68" s="94"/>
      <c r="AG68" s="88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6"/>
      <c r="AT68" s="196"/>
      <c r="AU68" s="190"/>
      <c r="AV68" s="190"/>
      <c r="AW68" s="201"/>
      <c r="AX68" s="201"/>
      <c r="AY68" s="201"/>
      <c r="AZ68" s="190"/>
      <c r="BA68" s="201"/>
      <c r="BB68" s="201"/>
      <c r="BC68" s="201"/>
      <c r="BD68" s="201"/>
      <c r="BE68" s="201"/>
      <c r="BF68" s="201"/>
      <c r="BG68" s="201"/>
      <c r="BH68" s="201"/>
      <c r="BI68" s="204"/>
      <c r="BJ68" s="204"/>
      <c r="BK68" s="204"/>
      <c r="BL68" s="169"/>
    </row>
    <row r="69" spans="1:64" s="85" customFormat="1" ht="33.75" customHeight="1">
      <c r="A69" s="88"/>
      <c r="B69" s="89"/>
      <c r="C69" s="89"/>
      <c r="D69" s="89"/>
      <c r="E69" s="89"/>
      <c r="F69" s="89"/>
      <c r="G69" s="89"/>
      <c r="H69" s="90"/>
      <c r="I69" s="90"/>
      <c r="J69" s="90"/>
      <c r="K69" s="90"/>
      <c r="L69" s="89"/>
      <c r="M69" s="91"/>
      <c r="N69" s="91"/>
      <c r="O69" s="89"/>
      <c r="P69" s="89"/>
      <c r="Q69" s="92"/>
      <c r="R69" s="92"/>
      <c r="S69" s="92"/>
      <c r="T69" s="89"/>
      <c r="U69" s="92"/>
      <c r="V69" s="92"/>
      <c r="W69" s="92"/>
      <c r="X69" s="92"/>
      <c r="Y69" s="92"/>
      <c r="Z69" s="92"/>
      <c r="AA69" s="92"/>
      <c r="AB69" s="92"/>
      <c r="AC69" s="93"/>
      <c r="AD69" s="94"/>
      <c r="AE69" s="94"/>
      <c r="AF69" s="94"/>
      <c r="AG69" s="88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6"/>
      <c r="AT69" s="196"/>
      <c r="AU69" s="190"/>
      <c r="AV69" s="190"/>
      <c r="AW69" s="201"/>
      <c r="AX69" s="201"/>
      <c r="AY69" s="201"/>
      <c r="AZ69" s="190"/>
      <c r="BA69" s="201"/>
      <c r="BB69" s="201"/>
      <c r="BC69" s="201"/>
      <c r="BD69" s="201"/>
      <c r="BE69" s="201"/>
      <c r="BF69" s="201"/>
      <c r="BG69" s="201"/>
      <c r="BH69" s="201"/>
      <c r="BI69" s="204"/>
      <c r="BJ69" s="204"/>
      <c r="BK69" s="204"/>
      <c r="BL69" s="205"/>
    </row>
    <row r="70" spans="1:64" s="85" customFormat="1" ht="33.75" customHeight="1">
      <c r="A70" s="88"/>
      <c r="B70" s="89"/>
      <c r="C70" s="89"/>
      <c r="D70" s="89"/>
      <c r="E70" s="89"/>
      <c r="F70" s="89"/>
      <c r="G70" s="89"/>
      <c r="H70" s="90"/>
      <c r="I70" s="90"/>
      <c r="J70" s="90"/>
      <c r="K70" s="90"/>
      <c r="L70" s="89"/>
      <c r="M70" s="91"/>
      <c r="N70" s="91"/>
      <c r="O70" s="89"/>
      <c r="P70" s="89"/>
      <c r="Q70" s="92"/>
      <c r="R70" s="92"/>
      <c r="S70" s="92"/>
      <c r="T70" s="89"/>
      <c r="U70" s="92"/>
      <c r="V70" s="92"/>
      <c r="W70" s="92"/>
      <c r="X70" s="92"/>
      <c r="Y70" s="92"/>
      <c r="Z70" s="92"/>
      <c r="AA70" s="92"/>
      <c r="AB70" s="92"/>
      <c r="AC70" s="93"/>
      <c r="AD70" s="94"/>
      <c r="AE70" s="94"/>
      <c r="AF70" s="94"/>
      <c r="AG70" s="88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6"/>
      <c r="AT70" s="196"/>
      <c r="AU70" s="190"/>
      <c r="AV70" s="190"/>
      <c r="AW70" s="201"/>
      <c r="AX70" s="201"/>
      <c r="AY70" s="201"/>
      <c r="AZ70" s="190"/>
      <c r="BA70" s="201"/>
      <c r="BB70" s="201"/>
      <c r="BC70" s="201"/>
      <c r="BD70" s="201"/>
      <c r="BE70" s="201"/>
      <c r="BF70" s="201"/>
      <c r="BG70" s="201"/>
      <c r="BH70" s="201"/>
      <c r="BI70" s="204"/>
      <c r="BJ70" s="204"/>
      <c r="BK70" s="204"/>
      <c r="BL70" s="205"/>
    </row>
    <row r="71" spans="1:64" s="85" customFormat="1" ht="33.75" customHeight="1">
      <c r="A71" s="88"/>
      <c r="B71" s="89"/>
      <c r="C71" s="89"/>
      <c r="D71" s="89"/>
      <c r="E71" s="89"/>
      <c r="F71" s="89"/>
      <c r="G71" s="89"/>
      <c r="H71" s="90"/>
      <c r="I71" s="90"/>
      <c r="J71" s="90"/>
      <c r="K71" s="90"/>
      <c r="L71" s="89"/>
      <c r="M71" s="91"/>
      <c r="N71" s="91"/>
      <c r="O71" s="89"/>
      <c r="P71" s="89"/>
      <c r="Q71" s="92"/>
      <c r="R71" s="92"/>
      <c r="S71" s="92"/>
      <c r="T71" s="89"/>
      <c r="U71" s="92"/>
      <c r="V71" s="92"/>
      <c r="W71" s="92"/>
      <c r="X71" s="92"/>
      <c r="Y71" s="92"/>
      <c r="Z71" s="92"/>
      <c r="AA71" s="92"/>
      <c r="AB71" s="92"/>
      <c r="AC71" s="93"/>
      <c r="AD71" s="94"/>
      <c r="AE71" s="94"/>
      <c r="AF71" s="94"/>
      <c r="AG71" s="88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6"/>
      <c r="AT71" s="196"/>
      <c r="AU71" s="190"/>
      <c r="AV71" s="190"/>
      <c r="AW71" s="201"/>
      <c r="AX71" s="201"/>
      <c r="AY71" s="201"/>
      <c r="AZ71" s="190"/>
      <c r="BA71" s="201"/>
      <c r="BB71" s="201"/>
      <c r="BC71" s="201"/>
      <c r="BD71" s="201"/>
      <c r="BE71" s="201"/>
      <c r="BF71" s="201"/>
      <c r="BG71" s="201"/>
      <c r="BH71" s="201"/>
      <c r="BI71" s="204"/>
      <c r="BJ71" s="204"/>
      <c r="BK71" s="204"/>
      <c r="BL71" s="205"/>
    </row>
    <row r="72" spans="1:64" s="85" customFormat="1" ht="33.75" customHeight="1">
      <c r="A72" s="88"/>
      <c r="B72" s="89"/>
      <c r="C72" s="89"/>
      <c r="D72" s="89"/>
      <c r="E72" s="89"/>
      <c r="F72" s="89"/>
      <c r="G72" s="89"/>
      <c r="H72" s="90"/>
      <c r="I72" s="90"/>
      <c r="J72" s="90"/>
      <c r="K72" s="90"/>
      <c r="L72" s="89"/>
      <c r="M72" s="91"/>
      <c r="N72" s="91"/>
      <c r="O72" s="89"/>
      <c r="P72" s="89"/>
      <c r="Q72" s="92"/>
      <c r="R72" s="92"/>
      <c r="S72" s="92"/>
      <c r="T72" s="89"/>
      <c r="U72" s="92"/>
      <c r="V72" s="92"/>
      <c r="W72" s="92"/>
      <c r="X72" s="92"/>
      <c r="Y72" s="92"/>
      <c r="Z72" s="92"/>
      <c r="AA72" s="92"/>
      <c r="AB72" s="92"/>
      <c r="AC72" s="93"/>
      <c r="AD72" s="94"/>
      <c r="AE72" s="94"/>
      <c r="AF72" s="94"/>
      <c r="AG72" s="88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6"/>
      <c r="AT72" s="196"/>
      <c r="AU72" s="190"/>
      <c r="AV72" s="190"/>
      <c r="AW72" s="201"/>
      <c r="AX72" s="201"/>
      <c r="AY72" s="201"/>
      <c r="AZ72" s="190"/>
      <c r="BA72" s="201"/>
      <c r="BB72" s="201"/>
      <c r="BC72" s="201"/>
      <c r="BD72" s="201"/>
      <c r="BE72" s="201"/>
      <c r="BF72" s="201"/>
      <c r="BG72" s="201"/>
      <c r="BH72" s="201"/>
      <c r="BI72" s="204"/>
      <c r="BJ72" s="204"/>
      <c r="BK72" s="204"/>
      <c r="BL72" s="205"/>
    </row>
    <row r="73" spans="1:64" s="85" customFormat="1" ht="33.75" customHeight="1">
      <c r="A73" s="88"/>
      <c r="B73" s="89"/>
      <c r="C73" s="89"/>
      <c r="D73" s="89"/>
      <c r="E73" s="89"/>
      <c r="F73" s="89"/>
      <c r="G73" s="89"/>
      <c r="H73" s="90"/>
      <c r="I73" s="90"/>
      <c r="J73" s="90"/>
      <c r="K73" s="90"/>
      <c r="L73" s="89"/>
      <c r="M73" s="91"/>
      <c r="N73" s="91"/>
      <c r="O73" s="89"/>
      <c r="P73" s="89"/>
      <c r="Q73" s="92"/>
      <c r="R73" s="92"/>
      <c r="S73" s="92"/>
      <c r="T73" s="89"/>
      <c r="U73" s="92"/>
      <c r="V73" s="92"/>
      <c r="W73" s="92"/>
      <c r="X73" s="92"/>
      <c r="Y73" s="92"/>
      <c r="Z73" s="92"/>
      <c r="AA73" s="92"/>
      <c r="AB73" s="92"/>
      <c r="AC73" s="93"/>
      <c r="AD73" s="94"/>
      <c r="AE73" s="94"/>
      <c r="AF73" s="94"/>
      <c r="AG73" s="88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6"/>
      <c r="AT73" s="196"/>
      <c r="AU73" s="190"/>
      <c r="AV73" s="190"/>
      <c r="AW73" s="201"/>
      <c r="AX73" s="201"/>
      <c r="AY73" s="201"/>
      <c r="AZ73" s="190"/>
      <c r="BA73" s="201"/>
      <c r="BB73" s="201"/>
      <c r="BC73" s="201"/>
      <c r="BD73" s="201"/>
      <c r="BE73" s="201"/>
      <c r="BF73" s="201"/>
      <c r="BG73" s="201"/>
      <c r="BH73" s="201"/>
      <c r="BI73" s="204"/>
      <c r="BJ73" s="204"/>
      <c r="BK73" s="204"/>
      <c r="BL73" s="205"/>
    </row>
    <row r="74" spans="1:64" s="85" customFormat="1" ht="33.75" customHeight="1">
      <c r="A74" s="88"/>
      <c r="B74" s="89"/>
      <c r="C74" s="89"/>
      <c r="D74" s="89"/>
      <c r="E74" s="89"/>
      <c r="F74" s="89"/>
      <c r="G74" s="89"/>
      <c r="H74" s="90"/>
      <c r="I74" s="90"/>
      <c r="J74" s="90"/>
      <c r="K74" s="90"/>
      <c r="L74" s="89"/>
      <c r="M74" s="91"/>
      <c r="N74" s="91"/>
      <c r="O74" s="89"/>
      <c r="P74" s="89"/>
      <c r="Q74" s="92"/>
      <c r="R74" s="92"/>
      <c r="S74" s="92"/>
      <c r="T74" s="89"/>
      <c r="U74" s="92"/>
      <c r="V74" s="92"/>
      <c r="W74" s="92"/>
      <c r="X74" s="92"/>
      <c r="Y74" s="92"/>
      <c r="Z74" s="92"/>
      <c r="AA74" s="92"/>
      <c r="AB74" s="92"/>
      <c r="AC74" s="93"/>
      <c r="AD74" s="94"/>
      <c r="AE74" s="94"/>
      <c r="AF74" s="94"/>
      <c r="AG74" s="88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6"/>
      <c r="AT74" s="196"/>
      <c r="AU74" s="190"/>
      <c r="AV74" s="190"/>
      <c r="AW74" s="201"/>
      <c r="AX74" s="201"/>
      <c r="AY74" s="201"/>
      <c r="AZ74" s="190"/>
      <c r="BA74" s="201"/>
      <c r="BB74" s="201"/>
      <c r="BC74" s="201"/>
      <c r="BD74" s="201"/>
      <c r="BE74" s="201"/>
      <c r="BF74" s="201"/>
      <c r="BG74" s="201"/>
      <c r="BH74" s="201"/>
      <c r="BI74" s="204"/>
      <c r="BJ74" s="204"/>
      <c r="BK74" s="204"/>
      <c r="BL74" s="205"/>
    </row>
    <row r="75" spans="1:64" s="85" customFormat="1" ht="29.25" customHeight="1">
      <c r="A75" s="88"/>
      <c r="B75" s="89"/>
      <c r="C75" s="89"/>
      <c r="D75" s="89"/>
      <c r="E75" s="89"/>
      <c r="F75" s="89"/>
      <c r="G75" s="89"/>
      <c r="H75" s="90"/>
      <c r="I75" s="90"/>
      <c r="J75" s="90"/>
      <c r="K75" s="90"/>
      <c r="L75" s="89"/>
      <c r="M75" s="91"/>
      <c r="N75" s="91"/>
      <c r="O75" s="89"/>
      <c r="P75" s="89"/>
      <c r="Q75" s="92"/>
      <c r="R75" s="92"/>
      <c r="S75" s="92"/>
      <c r="T75" s="89"/>
      <c r="U75" s="92"/>
      <c r="V75" s="92"/>
      <c r="W75" s="92"/>
      <c r="X75" s="92"/>
      <c r="Y75" s="92"/>
      <c r="Z75" s="92"/>
      <c r="AA75" s="92"/>
      <c r="AB75" s="92"/>
      <c r="AC75" s="93"/>
      <c r="AD75" s="94"/>
      <c r="AE75" s="94"/>
      <c r="AF75" s="94"/>
      <c r="AG75" s="88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6"/>
      <c r="AT75" s="196"/>
      <c r="AU75" s="190"/>
      <c r="AV75" s="190"/>
      <c r="AW75" s="201"/>
      <c r="AX75" s="201"/>
      <c r="AY75" s="201"/>
      <c r="AZ75" s="190"/>
      <c r="BA75" s="201"/>
      <c r="BB75" s="201"/>
      <c r="BC75" s="201"/>
      <c r="BD75" s="201"/>
      <c r="BE75" s="201"/>
      <c r="BF75" s="201"/>
      <c r="BG75" s="201"/>
      <c r="BH75" s="201"/>
      <c r="BI75" s="204"/>
      <c r="BJ75" s="204"/>
      <c r="BK75" s="204"/>
      <c r="BL75" s="205"/>
    </row>
    <row r="76" spans="1:64" s="86" customFormat="1" ht="29.25" customHeight="1">
      <c r="A76" s="88"/>
      <c r="B76" s="89"/>
      <c r="C76" s="89"/>
      <c r="D76" s="89"/>
      <c r="E76" s="89"/>
      <c r="F76" s="89"/>
      <c r="G76" s="89"/>
      <c r="H76" s="90"/>
      <c r="I76" s="90"/>
      <c r="J76" s="90"/>
      <c r="K76" s="90"/>
      <c r="L76" s="89"/>
      <c r="M76" s="91"/>
      <c r="N76" s="91"/>
      <c r="O76" s="89"/>
      <c r="P76" s="89"/>
      <c r="Q76" s="92"/>
      <c r="R76" s="92"/>
      <c r="S76" s="92"/>
      <c r="T76" s="89"/>
      <c r="U76" s="92"/>
      <c r="V76" s="92"/>
      <c r="W76" s="92"/>
      <c r="X76" s="92"/>
      <c r="Y76" s="92"/>
      <c r="Z76" s="92"/>
      <c r="AA76" s="92"/>
      <c r="AB76" s="92"/>
      <c r="AC76" s="93"/>
      <c r="AD76" s="94"/>
      <c r="AE76" s="94"/>
      <c r="AF76" s="94"/>
      <c r="AG76" s="88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6"/>
      <c r="AT76" s="196"/>
      <c r="AU76" s="190"/>
      <c r="AV76" s="190"/>
      <c r="AW76" s="201"/>
      <c r="AX76" s="201"/>
      <c r="AY76" s="201"/>
      <c r="AZ76" s="190"/>
      <c r="BA76" s="201"/>
      <c r="BB76" s="201"/>
      <c r="BC76" s="201"/>
      <c r="BD76" s="201"/>
      <c r="BE76" s="201"/>
      <c r="BF76" s="201"/>
      <c r="BG76" s="201"/>
      <c r="BH76" s="201"/>
      <c r="BI76" s="204"/>
      <c r="BJ76" s="204"/>
      <c r="BK76" s="204"/>
      <c r="BL76" s="205"/>
    </row>
    <row r="77" spans="1:64" s="87" customFormat="1" ht="29.25" customHeight="1">
      <c r="A77" s="88"/>
      <c r="B77" s="89"/>
      <c r="C77" s="89"/>
      <c r="D77" s="89"/>
      <c r="E77" s="89"/>
      <c r="F77" s="89"/>
      <c r="G77" s="89"/>
      <c r="H77" s="90"/>
      <c r="I77" s="90"/>
      <c r="J77" s="90"/>
      <c r="K77" s="90"/>
      <c r="L77" s="89"/>
      <c r="M77" s="91"/>
      <c r="N77" s="91"/>
      <c r="O77" s="89"/>
      <c r="P77" s="89"/>
      <c r="Q77" s="92"/>
      <c r="R77" s="92"/>
      <c r="S77" s="92"/>
      <c r="T77" s="89"/>
      <c r="U77" s="92"/>
      <c r="V77" s="92"/>
      <c r="W77" s="92"/>
      <c r="X77" s="92"/>
      <c r="Y77" s="92"/>
      <c r="Z77" s="92"/>
      <c r="AA77" s="92"/>
      <c r="AB77" s="92"/>
      <c r="AC77" s="93"/>
      <c r="AD77" s="94"/>
      <c r="AE77" s="94"/>
      <c r="AF77" s="94"/>
      <c r="AG77" s="88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6"/>
      <c r="AT77" s="196"/>
      <c r="AU77" s="190"/>
      <c r="AV77" s="190"/>
      <c r="AW77" s="201"/>
      <c r="AX77" s="201"/>
      <c r="AY77" s="201"/>
      <c r="AZ77" s="190"/>
      <c r="BA77" s="201"/>
      <c r="BB77" s="201"/>
      <c r="BC77" s="201"/>
      <c r="BD77" s="201"/>
      <c r="BE77" s="201"/>
      <c r="BF77" s="201"/>
      <c r="BG77" s="201"/>
      <c r="BH77" s="201"/>
      <c r="BI77" s="204"/>
      <c r="BJ77" s="204"/>
      <c r="BK77" s="204"/>
      <c r="BL77" s="205"/>
    </row>
    <row r="78" spans="1:64" s="87" customFormat="1" ht="29.25" customHeight="1">
      <c r="A78" s="88"/>
      <c r="B78" s="89"/>
      <c r="C78" s="89"/>
      <c r="D78" s="89"/>
      <c r="E78" s="89"/>
      <c r="F78" s="89"/>
      <c r="G78" s="89"/>
      <c r="H78" s="90"/>
      <c r="I78" s="90"/>
      <c r="J78" s="90"/>
      <c r="K78" s="90"/>
      <c r="L78" s="89"/>
      <c r="M78" s="91"/>
      <c r="N78" s="91"/>
      <c r="O78" s="89"/>
      <c r="P78" s="89"/>
      <c r="Q78" s="92"/>
      <c r="R78" s="92"/>
      <c r="S78" s="92"/>
      <c r="T78" s="89"/>
      <c r="U78" s="92"/>
      <c r="V78" s="92"/>
      <c r="W78" s="92"/>
      <c r="X78" s="92"/>
      <c r="Y78" s="92"/>
      <c r="Z78" s="92"/>
      <c r="AA78" s="92"/>
      <c r="AB78" s="92"/>
      <c r="AC78" s="93"/>
      <c r="AD78" s="94"/>
      <c r="AE78" s="94"/>
      <c r="AF78" s="94"/>
      <c r="AG78" s="88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6"/>
      <c r="AT78" s="196"/>
      <c r="AU78" s="190"/>
      <c r="AV78" s="190"/>
      <c r="AW78" s="201"/>
      <c r="AX78" s="201"/>
      <c r="AY78" s="201"/>
      <c r="AZ78" s="190"/>
      <c r="BA78" s="201"/>
      <c r="BB78" s="201"/>
      <c r="BC78" s="201"/>
      <c r="BD78" s="201"/>
      <c r="BE78" s="201"/>
      <c r="BF78" s="201"/>
      <c r="BG78" s="201"/>
      <c r="BH78" s="201"/>
      <c r="BI78" s="204"/>
      <c r="BJ78" s="204"/>
      <c r="BK78" s="204"/>
      <c r="BL78" s="205"/>
    </row>
    <row r="79" spans="1:64" s="87" customFormat="1" ht="29.25" customHeight="1">
      <c r="A79" s="88"/>
      <c r="B79" s="89"/>
      <c r="C79" s="89"/>
      <c r="D79" s="89"/>
      <c r="E79" s="89"/>
      <c r="F79" s="89"/>
      <c r="G79" s="89"/>
      <c r="H79" s="90"/>
      <c r="I79" s="90"/>
      <c r="J79" s="90"/>
      <c r="K79" s="90"/>
      <c r="L79" s="89"/>
      <c r="M79" s="91"/>
      <c r="N79" s="91"/>
      <c r="O79" s="89"/>
      <c r="P79" s="89"/>
      <c r="Q79" s="92"/>
      <c r="R79" s="92"/>
      <c r="S79" s="92"/>
      <c r="T79" s="89"/>
      <c r="U79" s="92"/>
      <c r="V79" s="92"/>
      <c r="W79" s="92"/>
      <c r="X79" s="92"/>
      <c r="Y79" s="92"/>
      <c r="Z79" s="92"/>
      <c r="AA79" s="92"/>
      <c r="AB79" s="92"/>
      <c r="AC79" s="93"/>
      <c r="AD79" s="94"/>
      <c r="AE79" s="94"/>
      <c r="AF79" s="94"/>
      <c r="AG79" s="88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6"/>
      <c r="AT79" s="196"/>
      <c r="AU79" s="190"/>
      <c r="AV79" s="190"/>
      <c r="AW79" s="201"/>
      <c r="AX79" s="201"/>
      <c r="AY79" s="201"/>
      <c r="AZ79" s="190"/>
      <c r="BA79" s="201"/>
      <c r="BB79" s="201"/>
      <c r="BC79" s="201"/>
      <c r="BD79" s="201"/>
      <c r="BE79" s="201"/>
      <c r="BF79" s="201"/>
      <c r="BG79" s="201"/>
      <c r="BH79" s="201"/>
      <c r="BI79" s="204"/>
      <c r="BJ79" s="204"/>
      <c r="BK79" s="204"/>
      <c r="BL79" s="205"/>
    </row>
    <row r="80" spans="1:64" s="87" customFormat="1" ht="25.5" customHeight="1">
      <c r="A80" s="88"/>
      <c r="B80" s="89"/>
      <c r="C80" s="89"/>
      <c r="D80" s="89"/>
      <c r="E80" s="89"/>
      <c r="F80" s="89"/>
      <c r="G80" s="89"/>
      <c r="H80" s="90"/>
      <c r="I80" s="90"/>
      <c r="J80" s="90"/>
      <c r="K80" s="90"/>
      <c r="L80" s="89"/>
      <c r="M80" s="91"/>
      <c r="N80" s="91"/>
      <c r="O80" s="89"/>
      <c r="P80" s="89"/>
      <c r="Q80" s="92"/>
      <c r="R80" s="92"/>
      <c r="S80" s="92"/>
      <c r="T80" s="89"/>
      <c r="U80" s="92"/>
      <c r="V80" s="92"/>
      <c r="W80" s="92"/>
      <c r="X80" s="92"/>
      <c r="Y80" s="92"/>
      <c r="Z80" s="92"/>
      <c r="AA80" s="92"/>
      <c r="AB80" s="92"/>
      <c r="AC80" s="93"/>
      <c r="AD80" s="94"/>
      <c r="AE80" s="94"/>
      <c r="AF80" s="94"/>
      <c r="AG80" s="88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6"/>
      <c r="AT80" s="196"/>
      <c r="AU80" s="190"/>
      <c r="AV80" s="190"/>
      <c r="AW80" s="201"/>
      <c r="AX80" s="201"/>
      <c r="AY80" s="201"/>
      <c r="AZ80" s="190"/>
      <c r="BA80" s="201"/>
      <c r="BB80" s="201"/>
      <c r="BC80" s="201"/>
      <c r="BD80" s="201"/>
      <c r="BE80" s="201"/>
      <c r="BF80" s="201"/>
      <c r="BG80" s="201"/>
      <c r="BH80" s="201"/>
      <c r="BI80" s="204"/>
      <c r="BJ80" s="204"/>
      <c r="BK80" s="204"/>
      <c r="BL80" s="205"/>
    </row>
    <row r="81" spans="1:64" s="87" customFormat="1" ht="25.5" customHeight="1">
      <c r="A81" s="88"/>
      <c r="B81" s="89"/>
      <c r="C81" s="89"/>
      <c r="D81" s="89"/>
      <c r="E81" s="89"/>
      <c r="F81" s="89"/>
      <c r="G81" s="89"/>
      <c r="H81" s="90"/>
      <c r="I81" s="90"/>
      <c r="J81" s="90"/>
      <c r="K81" s="90"/>
      <c r="L81" s="89"/>
      <c r="M81" s="91"/>
      <c r="N81" s="91"/>
      <c r="O81" s="89"/>
      <c r="P81" s="89"/>
      <c r="Q81" s="92"/>
      <c r="R81" s="92"/>
      <c r="S81" s="92"/>
      <c r="T81" s="89"/>
      <c r="U81" s="92"/>
      <c r="V81" s="92"/>
      <c r="W81" s="92"/>
      <c r="X81" s="92"/>
      <c r="Y81" s="92"/>
      <c r="Z81" s="92"/>
      <c r="AA81" s="92"/>
      <c r="AB81" s="92"/>
      <c r="AC81" s="93"/>
      <c r="AD81" s="94"/>
      <c r="AE81" s="94"/>
      <c r="AF81" s="94"/>
      <c r="AG81" s="88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6"/>
      <c r="AT81" s="196"/>
      <c r="AU81" s="190"/>
      <c r="AV81" s="190"/>
      <c r="AW81" s="201"/>
      <c r="AX81" s="201"/>
      <c r="AY81" s="201"/>
      <c r="AZ81" s="190"/>
      <c r="BA81" s="201"/>
      <c r="BB81" s="201"/>
      <c r="BC81" s="201"/>
      <c r="BD81" s="201"/>
      <c r="BE81" s="201"/>
      <c r="BF81" s="201"/>
      <c r="BG81" s="201"/>
      <c r="BH81" s="201"/>
      <c r="BI81" s="204"/>
      <c r="BJ81" s="204"/>
      <c r="BK81" s="204"/>
      <c r="BL81" s="205"/>
    </row>
    <row r="82" spans="1:64" s="87" customFormat="1" ht="25.5" customHeight="1">
      <c r="A82" s="88"/>
      <c r="B82" s="89"/>
      <c r="C82" s="89"/>
      <c r="D82" s="89"/>
      <c r="E82" s="89"/>
      <c r="F82" s="89"/>
      <c r="G82" s="89"/>
      <c r="H82" s="90"/>
      <c r="I82" s="90"/>
      <c r="J82" s="90"/>
      <c r="K82" s="90"/>
      <c r="L82" s="89"/>
      <c r="M82" s="91"/>
      <c r="N82" s="91"/>
      <c r="O82" s="89"/>
      <c r="P82" s="89"/>
      <c r="Q82" s="92"/>
      <c r="R82" s="92"/>
      <c r="S82" s="92"/>
      <c r="T82" s="89"/>
      <c r="U82" s="92"/>
      <c r="V82" s="92"/>
      <c r="W82" s="92"/>
      <c r="X82" s="92"/>
      <c r="Y82" s="92"/>
      <c r="Z82" s="92"/>
      <c r="AA82" s="92"/>
      <c r="AB82" s="92"/>
      <c r="AC82" s="93"/>
      <c r="AD82" s="94"/>
      <c r="AE82" s="94"/>
      <c r="AF82" s="94"/>
      <c r="AG82" s="88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6"/>
      <c r="AT82" s="196"/>
      <c r="AU82" s="190"/>
      <c r="AV82" s="190"/>
      <c r="AW82" s="201"/>
      <c r="AX82" s="201"/>
      <c r="AY82" s="201"/>
      <c r="AZ82" s="190"/>
      <c r="BA82" s="201"/>
      <c r="BB82" s="201"/>
      <c r="BC82" s="201"/>
      <c r="BD82" s="201"/>
      <c r="BE82" s="201"/>
      <c r="BF82" s="201"/>
      <c r="BG82" s="201"/>
      <c r="BH82" s="201"/>
      <c r="BI82" s="204"/>
      <c r="BJ82" s="204"/>
      <c r="BK82" s="204"/>
      <c r="BL82" s="205"/>
    </row>
    <row r="83" spans="1:64" s="87" customFormat="1" ht="25.5" customHeight="1">
      <c r="A83" s="88"/>
      <c r="B83" s="89"/>
      <c r="C83" s="89"/>
      <c r="D83" s="89"/>
      <c r="E83" s="89"/>
      <c r="F83" s="89"/>
      <c r="G83" s="89"/>
      <c r="H83" s="90"/>
      <c r="I83" s="90"/>
      <c r="J83" s="90"/>
      <c r="K83" s="90"/>
      <c r="L83" s="89"/>
      <c r="M83" s="91"/>
      <c r="N83" s="91"/>
      <c r="O83" s="89"/>
      <c r="P83" s="89"/>
      <c r="Q83" s="92"/>
      <c r="R83" s="92"/>
      <c r="S83" s="92"/>
      <c r="T83" s="89"/>
      <c r="U83" s="92"/>
      <c r="V83" s="92"/>
      <c r="W83" s="92"/>
      <c r="X83" s="92"/>
      <c r="Y83" s="92"/>
      <c r="Z83" s="92"/>
      <c r="AA83" s="92"/>
      <c r="AB83" s="92"/>
      <c r="AC83" s="93"/>
      <c r="AD83" s="94"/>
      <c r="AE83" s="94"/>
      <c r="AF83" s="94"/>
      <c r="AG83" s="88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6"/>
      <c r="AT83" s="196"/>
      <c r="AU83" s="190"/>
      <c r="AV83" s="190"/>
      <c r="AW83" s="201"/>
      <c r="AX83" s="201"/>
      <c r="AY83" s="201"/>
      <c r="AZ83" s="190"/>
      <c r="BA83" s="201"/>
      <c r="BB83" s="201"/>
      <c r="BC83" s="201"/>
      <c r="BD83" s="201"/>
      <c r="BE83" s="201"/>
      <c r="BF83" s="201"/>
      <c r="BG83" s="201"/>
      <c r="BH83" s="201"/>
      <c r="BI83" s="204"/>
      <c r="BJ83" s="204"/>
      <c r="BK83" s="204"/>
      <c r="BL83" s="206"/>
    </row>
    <row r="84" spans="1:64" s="87" customFormat="1" ht="25.5" customHeight="1">
      <c r="A84" s="88"/>
      <c r="B84" s="89"/>
      <c r="C84" s="89"/>
      <c r="D84" s="89"/>
      <c r="E84" s="89"/>
      <c r="F84" s="89"/>
      <c r="G84" s="89"/>
      <c r="H84" s="90"/>
      <c r="I84" s="90"/>
      <c r="J84" s="90"/>
      <c r="K84" s="90"/>
      <c r="L84" s="89"/>
      <c r="M84" s="91"/>
      <c r="N84" s="91"/>
      <c r="O84" s="89"/>
      <c r="P84" s="89"/>
      <c r="Q84" s="92"/>
      <c r="R84" s="92"/>
      <c r="S84" s="92"/>
      <c r="T84" s="89"/>
      <c r="U84" s="92"/>
      <c r="V84" s="92"/>
      <c r="W84" s="92"/>
      <c r="X84" s="92"/>
      <c r="Y84" s="92"/>
      <c r="Z84" s="92"/>
      <c r="AA84" s="92"/>
      <c r="AB84" s="92"/>
      <c r="AC84" s="93"/>
      <c r="AD84" s="94"/>
      <c r="AE84" s="94"/>
      <c r="AF84" s="94"/>
      <c r="AG84" s="88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6"/>
      <c r="AT84" s="196"/>
      <c r="AU84" s="190"/>
      <c r="AV84" s="190"/>
      <c r="AW84" s="201"/>
      <c r="AX84" s="201"/>
      <c r="AY84" s="201"/>
      <c r="AZ84" s="190"/>
      <c r="BA84" s="201"/>
      <c r="BB84" s="201"/>
      <c r="BC84" s="201"/>
      <c r="BD84" s="201"/>
      <c r="BE84" s="201"/>
      <c r="BF84" s="201"/>
      <c r="BG84" s="201"/>
      <c r="BH84" s="201"/>
      <c r="BI84" s="204"/>
      <c r="BJ84" s="204"/>
      <c r="BK84" s="204"/>
      <c r="BL84" s="206"/>
    </row>
    <row r="85" spans="1:64" s="87" customFormat="1" ht="25.5" customHeight="1">
      <c r="A85" s="88"/>
      <c r="B85" s="89"/>
      <c r="C85" s="89"/>
      <c r="D85" s="89"/>
      <c r="E85" s="89"/>
      <c r="F85" s="89"/>
      <c r="G85" s="89"/>
      <c r="H85" s="90"/>
      <c r="I85" s="90"/>
      <c r="J85" s="90"/>
      <c r="K85" s="90"/>
      <c r="L85" s="89"/>
      <c r="M85" s="91"/>
      <c r="N85" s="91"/>
      <c r="O85" s="89"/>
      <c r="P85" s="89"/>
      <c r="Q85" s="92"/>
      <c r="R85" s="92"/>
      <c r="S85" s="92"/>
      <c r="T85" s="89"/>
      <c r="U85" s="92"/>
      <c r="V85" s="92"/>
      <c r="W85" s="92"/>
      <c r="X85" s="92"/>
      <c r="Y85" s="92"/>
      <c r="Z85" s="92"/>
      <c r="AA85" s="92"/>
      <c r="AB85" s="92"/>
      <c r="AC85" s="93"/>
      <c r="AD85" s="94"/>
      <c r="AE85" s="94"/>
      <c r="AF85" s="94"/>
      <c r="AG85" s="88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6"/>
      <c r="AT85" s="196"/>
      <c r="AU85" s="190"/>
      <c r="AV85" s="190"/>
      <c r="AW85" s="201"/>
      <c r="AX85" s="201"/>
      <c r="AY85" s="201"/>
      <c r="AZ85" s="190"/>
      <c r="BA85" s="201"/>
      <c r="BB85" s="201"/>
      <c r="BC85" s="201"/>
      <c r="BD85" s="201"/>
      <c r="BE85" s="201"/>
      <c r="BF85" s="201"/>
      <c r="BG85" s="201"/>
      <c r="BH85" s="201"/>
      <c r="BI85" s="204"/>
      <c r="BJ85" s="204"/>
      <c r="BK85" s="204"/>
      <c r="BL85" s="206"/>
    </row>
    <row r="86" spans="1:64" s="87" customFormat="1" ht="25.5" customHeight="1">
      <c r="A86" s="88"/>
      <c r="B86" s="89"/>
      <c r="C86" s="89"/>
      <c r="D86" s="89"/>
      <c r="E86" s="89"/>
      <c r="F86" s="89"/>
      <c r="G86" s="89"/>
      <c r="H86" s="90"/>
      <c r="I86" s="90"/>
      <c r="J86" s="90"/>
      <c r="K86" s="90"/>
      <c r="L86" s="89"/>
      <c r="M86" s="91"/>
      <c r="N86" s="91"/>
      <c r="O86" s="89"/>
      <c r="P86" s="89"/>
      <c r="Q86" s="92"/>
      <c r="R86" s="92"/>
      <c r="S86" s="92"/>
      <c r="T86" s="89"/>
      <c r="U86" s="92"/>
      <c r="V86" s="92"/>
      <c r="W86" s="92"/>
      <c r="X86" s="92"/>
      <c r="Y86" s="92"/>
      <c r="Z86" s="92"/>
      <c r="AA86" s="92"/>
      <c r="AB86" s="92"/>
      <c r="AC86" s="93"/>
      <c r="AD86" s="94"/>
      <c r="AE86" s="94"/>
      <c r="AF86" s="94"/>
      <c r="AG86" s="88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6"/>
      <c r="AT86" s="196"/>
      <c r="AU86" s="190"/>
      <c r="AV86" s="190"/>
      <c r="AW86" s="201"/>
      <c r="AX86" s="201"/>
      <c r="AY86" s="201"/>
      <c r="AZ86" s="190"/>
      <c r="BA86" s="201"/>
      <c r="BB86" s="201"/>
      <c r="BC86" s="201"/>
      <c r="BD86" s="201"/>
      <c r="BE86" s="201"/>
      <c r="BF86" s="201"/>
      <c r="BG86" s="201"/>
      <c r="BH86" s="201"/>
      <c r="BI86" s="204"/>
      <c r="BJ86" s="204"/>
      <c r="BK86" s="204"/>
      <c r="BL86" s="206"/>
    </row>
    <row r="87" spans="1:64" s="87" customFormat="1" ht="25.5" customHeight="1">
      <c r="A87" s="88"/>
      <c r="B87" s="89"/>
      <c r="C87" s="89"/>
      <c r="D87" s="89"/>
      <c r="E87" s="89"/>
      <c r="F87" s="89"/>
      <c r="G87" s="89"/>
      <c r="H87" s="90"/>
      <c r="I87" s="90"/>
      <c r="J87" s="90"/>
      <c r="K87" s="90"/>
      <c r="L87" s="89"/>
      <c r="M87" s="91"/>
      <c r="N87" s="91"/>
      <c r="O87" s="89"/>
      <c r="P87" s="89"/>
      <c r="Q87" s="92"/>
      <c r="R87" s="92"/>
      <c r="S87" s="92"/>
      <c r="T87" s="89"/>
      <c r="U87" s="92"/>
      <c r="V87" s="92"/>
      <c r="W87" s="92"/>
      <c r="X87" s="92"/>
      <c r="Y87" s="92"/>
      <c r="Z87" s="92"/>
      <c r="AA87" s="92"/>
      <c r="AB87" s="92"/>
      <c r="AC87" s="93"/>
      <c r="AD87" s="94"/>
      <c r="AE87" s="94"/>
      <c r="AF87" s="94"/>
      <c r="AG87" s="88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6"/>
      <c r="AT87" s="196"/>
      <c r="AU87" s="190"/>
      <c r="AV87" s="190"/>
      <c r="AW87" s="201"/>
      <c r="AX87" s="201"/>
      <c r="AY87" s="201"/>
      <c r="AZ87" s="190"/>
      <c r="BA87" s="201"/>
      <c r="BB87" s="201"/>
      <c r="BC87" s="201"/>
      <c r="BD87" s="201"/>
      <c r="BE87" s="201"/>
      <c r="BF87" s="201"/>
      <c r="BG87" s="201"/>
      <c r="BH87" s="201"/>
      <c r="BI87" s="204"/>
      <c r="BJ87" s="204"/>
      <c r="BK87" s="204"/>
      <c r="BL87" s="206"/>
    </row>
    <row r="88" spans="1:64" s="87" customFormat="1" ht="25.5" customHeight="1">
      <c r="A88" s="88"/>
      <c r="B88" s="89"/>
      <c r="C88" s="89"/>
      <c r="D88" s="89"/>
      <c r="E88" s="89"/>
      <c r="F88" s="89"/>
      <c r="G88" s="89"/>
      <c r="H88" s="90"/>
      <c r="I88" s="90"/>
      <c r="J88" s="90"/>
      <c r="K88" s="90"/>
      <c r="L88" s="89"/>
      <c r="M88" s="91"/>
      <c r="N88" s="91"/>
      <c r="O88" s="89"/>
      <c r="P88" s="89"/>
      <c r="Q88" s="92"/>
      <c r="R88" s="92"/>
      <c r="S88" s="92"/>
      <c r="T88" s="89"/>
      <c r="U88" s="92"/>
      <c r="V88" s="92"/>
      <c r="W88" s="92"/>
      <c r="X88" s="92"/>
      <c r="Y88" s="92"/>
      <c r="Z88" s="92"/>
      <c r="AA88" s="92"/>
      <c r="AB88" s="92"/>
      <c r="AC88" s="93"/>
      <c r="AD88" s="94"/>
      <c r="AE88" s="94"/>
      <c r="AF88" s="94"/>
      <c r="AG88" s="88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6"/>
      <c r="AT88" s="196"/>
      <c r="AU88" s="190"/>
      <c r="AV88" s="190"/>
      <c r="AW88" s="201"/>
      <c r="AX88" s="201"/>
      <c r="AY88" s="201"/>
      <c r="AZ88" s="190"/>
      <c r="BA88" s="201"/>
      <c r="BB88" s="201"/>
      <c r="BC88" s="201"/>
      <c r="BD88" s="201"/>
      <c r="BE88" s="201"/>
      <c r="BF88" s="201"/>
      <c r="BG88" s="201"/>
      <c r="BH88" s="201"/>
      <c r="BI88" s="204"/>
      <c r="BJ88" s="204"/>
      <c r="BK88" s="204"/>
      <c r="BL88" s="206"/>
    </row>
    <row r="89" spans="1:64" s="87" customFormat="1" ht="25.5" customHeight="1">
      <c r="A89" s="88"/>
      <c r="B89" s="89"/>
      <c r="C89" s="89"/>
      <c r="D89" s="89"/>
      <c r="E89" s="89"/>
      <c r="F89" s="89"/>
      <c r="G89" s="89"/>
      <c r="H89" s="90"/>
      <c r="I89" s="90"/>
      <c r="J89" s="90"/>
      <c r="K89" s="90"/>
      <c r="L89" s="89"/>
      <c r="M89" s="91"/>
      <c r="N89" s="91"/>
      <c r="O89" s="89"/>
      <c r="P89" s="89"/>
      <c r="Q89" s="92"/>
      <c r="R89" s="92"/>
      <c r="S89" s="92"/>
      <c r="T89" s="89"/>
      <c r="U89" s="92"/>
      <c r="V89" s="92"/>
      <c r="W89" s="92"/>
      <c r="X89" s="92"/>
      <c r="Y89" s="92"/>
      <c r="Z89" s="92"/>
      <c r="AA89" s="92"/>
      <c r="AB89" s="92"/>
      <c r="AC89" s="93"/>
      <c r="AD89" s="94"/>
      <c r="AE89" s="94"/>
      <c r="AF89" s="94"/>
      <c r="AG89" s="88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6"/>
      <c r="AT89" s="196"/>
      <c r="AU89" s="190"/>
      <c r="AV89" s="190"/>
      <c r="AW89" s="201"/>
      <c r="AX89" s="201"/>
      <c r="AY89" s="201"/>
      <c r="AZ89" s="190"/>
      <c r="BA89" s="201"/>
      <c r="BB89" s="201"/>
      <c r="BC89" s="201"/>
      <c r="BD89" s="201"/>
      <c r="BE89" s="201"/>
      <c r="BF89" s="201"/>
      <c r="BG89" s="201"/>
      <c r="BH89" s="201"/>
      <c r="BI89" s="204"/>
      <c r="BJ89" s="204"/>
      <c r="BK89" s="204"/>
      <c r="BL89" s="206"/>
    </row>
    <row r="90" spans="1:64" s="87" customFormat="1" ht="25.5" customHeight="1">
      <c r="A90" s="88"/>
      <c r="B90" s="89"/>
      <c r="C90" s="89"/>
      <c r="D90" s="89"/>
      <c r="E90" s="89"/>
      <c r="F90" s="89"/>
      <c r="G90" s="89"/>
      <c r="H90" s="90"/>
      <c r="I90" s="90"/>
      <c r="J90" s="90"/>
      <c r="K90" s="90"/>
      <c r="L90" s="89"/>
      <c r="M90" s="91"/>
      <c r="N90" s="91"/>
      <c r="O90" s="89"/>
      <c r="P90" s="89"/>
      <c r="Q90" s="92"/>
      <c r="R90" s="92"/>
      <c r="S90" s="92"/>
      <c r="T90" s="89"/>
      <c r="U90" s="92"/>
      <c r="V90" s="92"/>
      <c r="W90" s="92"/>
      <c r="X90" s="92"/>
      <c r="Y90" s="92"/>
      <c r="Z90" s="92"/>
      <c r="AA90" s="92"/>
      <c r="AB90" s="92"/>
      <c r="AC90" s="93"/>
      <c r="AD90" s="94"/>
      <c r="AE90" s="94"/>
      <c r="AF90" s="94"/>
      <c r="AG90" s="88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6"/>
      <c r="AT90" s="196"/>
      <c r="AU90" s="190"/>
      <c r="AV90" s="190"/>
      <c r="AW90" s="201"/>
      <c r="AX90" s="201"/>
      <c r="AY90" s="201"/>
      <c r="AZ90" s="190"/>
      <c r="BA90" s="201"/>
      <c r="BB90" s="201"/>
      <c r="BC90" s="201"/>
      <c r="BD90" s="201"/>
      <c r="BE90" s="201"/>
      <c r="BF90" s="201"/>
      <c r="BG90" s="201"/>
      <c r="BH90" s="201"/>
      <c r="BI90" s="204"/>
      <c r="BJ90" s="204"/>
      <c r="BK90" s="204"/>
      <c r="BL90" s="206"/>
    </row>
    <row r="91" spans="34:64" ht="25.5" customHeight="1"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6"/>
      <c r="AT91" s="196"/>
      <c r="AU91" s="190"/>
      <c r="AV91" s="190"/>
      <c r="AW91" s="201"/>
      <c r="AX91" s="201"/>
      <c r="AY91" s="201"/>
      <c r="AZ91" s="190"/>
      <c r="BA91" s="201"/>
      <c r="BB91" s="201"/>
      <c r="BC91" s="201"/>
      <c r="BD91" s="201"/>
      <c r="BE91" s="201"/>
      <c r="BF91" s="201"/>
      <c r="BG91" s="201"/>
      <c r="BH91" s="201"/>
      <c r="BI91" s="204"/>
      <c r="BJ91" s="204"/>
      <c r="BK91" s="204"/>
      <c r="BL91" s="206"/>
    </row>
    <row r="92" spans="34:64" ht="25.5" customHeight="1"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6"/>
      <c r="AT92" s="196"/>
      <c r="AU92" s="190"/>
      <c r="AV92" s="190"/>
      <c r="AW92" s="201"/>
      <c r="AX92" s="201"/>
      <c r="AY92" s="201"/>
      <c r="AZ92" s="190"/>
      <c r="BA92" s="201"/>
      <c r="BB92" s="201"/>
      <c r="BC92" s="201"/>
      <c r="BD92" s="201"/>
      <c r="BE92" s="201"/>
      <c r="BF92" s="201"/>
      <c r="BG92" s="201"/>
      <c r="BH92" s="201"/>
      <c r="BI92" s="204"/>
      <c r="BJ92" s="204"/>
      <c r="BK92" s="204"/>
      <c r="BL92" s="206"/>
    </row>
    <row r="93" spans="34:64" ht="25.5" customHeight="1"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6"/>
      <c r="AT93" s="196"/>
      <c r="AU93" s="190"/>
      <c r="AV93" s="190"/>
      <c r="AW93" s="201"/>
      <c r="AX93" s="201"/>
      <c r="AY93" s="201"/>
      <c r="AZ93" s="190"/>
      <c r="BA93" s="201"/>
      <c r="BB93" s="201"/>
      <c r="BC93" s="201"/>
      <c r="BD93" s="201"/>
      <c r="BE93" s="201"/>
      <c r="BF93" s="201"/>
      <c r="BG93" s="201"/>
      <c r="BH93" s="201"/>
      <c r="BI93" s="204"/>
      <c r="BJ93" s="204"/>
      <c r="BK93" s="204"/>
      <c r="BL93" s="206"/>
    </row>
    <row r="94" spans="34:64" ht="25.5" customHeight="1"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6"/>
      <c r="AT94" s="196"/>
      <c r="AU94" s="190"/>
      <c r="AV94" s="190"/>
      <c r="AW94" s="201"/>
      <c r="AX94" s="201"/>
      <c r="AY94" s="201"/>
      <c r="AZ94" s="190"/>
      <c r="BA94" s="201"/>
      <c r="BB94" s="201"/>
      <c r="BC94" s="201"/>
      <c r="BD94" s="201"/>
      <c r="BE94" s="201"/>
      <c r="BF94" s="201"/>
      <c r="BG94" s="201"/>
      <c r="BH94" s="201"/>
      <c r="BI94" s="204"/>
      <c r="BJ94" s="204"/>
      <c r="BK94" s="204"/>
      <c r="BL94" s="206"/>
    </row>
    <row r="95" spans="34:64" ht="25.5" customHeight="1"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6"/>
      <c r="AT95" s="196"/>
      <c r="AU95" s="190"/>
      <c r="AV95" s="190"/>
      <c r="AW95" s="201"/>
      <c r="AX95" s="201"/>
      <c r="AY95" s="201"/>
      <c r="AZ95" s="190"/>
      <c r="BA95" s="201"/>
      <c r="BB95" s="201"/>
      <c r="BC95" s="201"/>
      <c r="BD95" s="201"/>
      <c r="BE95" s="201"/>
      <c r="BF95" s="201"/>
      <c r="BG95" s="201"/>
      <c r="BH95" s="201"/>
      <c r="BI95" s="204"/>
      <c r="BJ95" s="204"/>
      <c r="BK95" s="204"/>
      <c r="BL95" s="206"/>
    </row>
    <row r="96" spans="34:64" ht="25.5" customHeight="1"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6"/>
      <c r="AT96" s="196"/>
      <c r="AU96" s="190"/>
      <c r="AV96" s="190"/>
      <c r="AW96" s="201"/>
      <c r="AX96" s="201"/>
      <c r="AY96" s="201"/>
      <c r="AZ96" s="190"/>
      <c r="BA96" s="201"/>
      <c r="BB96" s="201"/>
      <c r="BC96" s="201"/>
      <c r="BD96" s="201"/>
      <c r="BE96" s="201"/>
      <c r="BF96" s="201"/>
      <c r="BG96" s="201"/>
      <c r="BH96" s="201"/>
      <c r="BI96" s="204"/>
      <c r="BJ96" s="204"/>
      <c r="BK96" s="204"/>
      <c r="BL96" s="206"/>
    </row>
    <row r="97" spans="34:64" ht="25.5" customHeight="1"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6"/>
      <c r="AT97" s="196"/>
      <c r="AU97" s="190"/>
      <c r="AV97" s="190"/>
      <c r="AW97" s="201"/>
      <c r="AX97" s="201"/>
      <c r="AY97" s="201"/>
      <c r="AZ97" s="190"/>
      <c r="BA97" s="201"/>
      <c r="BB97" s="201"/>
      <c r="BC97" s="201"/>
      <c r="BD97" s="201"/>
      <c r="BE97" s="201"/>
      <c r="BF97" s="201"/>
      <c r="BG97" s="201"/>
      <c r="BH97" s="201"/>
      <c r="BI97" s="204"/>
      <c r="BJ97" s="204"/>
      <c r="BK97" s="204"/>
      <c r="BL97" s="206"/>
    </row>
    <row r="98" spans="34:64" ht="25.5" customHeight="1"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6"/>
      <c r="AT98" s="196"/>
      <c r="AU98" s="190"/>
      <c r="AV98" s="190"/>
      <c r="AW98" s="201"/>
      <c r="AX98" s="201"/>
      <c r="AY98" s="201"/>
      <c r="AZ98" s="190"/>
      <c r="BA98" s="201"/>
      <c r="BB98" s="201"/>
      <c r="BC98" s="201"/>
      <c r="BD98" s="201"/>
      <c r="BE98" s="201"/>
      <c r="BF98" s="201"/>
      <c r="BG98" s="201"/>
      <c r="BH98" s="201"/>
      <c r="BI98" s="204"/>
      <c r="BJ98" s="204"/>
      <c r="BK98" s="204"/>
      <c r="BL98" s="206"/>
    </row>
    <row r="99" spans="34:64" ht="25.5" customHeight="1"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6"/>
      <c r="AT99" s="196"/>
      <c r="AU99" s="190"/>
      <c r="AV99" s="190"/>
      <c r="AW99" s="201"/>
      <c r="AX99" s="201"/>
      <c r="AY99" s="201"/>
      <c r="AZ99" s="190"/>
      <c r="BA99" s="201"/>
      <c r="BB99" s="201"/>
      <c r="BC99" s="201"/>
      <c r="BD99" s="201"/>
      <c r="BE99" s="201"/>
      <c r="BF99" s="201"/>
      <c r="BG99" s="201"/>
      <c r="BH99" s="201"/>
      <c r="BI99" s="204"/>
      <c r="BJ99" s="204"/>
      <c r="BK99" s="204"/>
      <c r="BL99" s="206"/>
    </row>
    <row r="100" spans="34:64" ht="25.5" customHeight="1"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6"/>
      <c r="AT100" s="196"/>
      <c r="AU100" s="190"/>
      <c r="AV100" s="190"/>
      <c r="AW100" s="201"/>
      <c r="AX100" s="201"/>
      <c r="AY100" s="201"/>
      <c r="AZ100" s="190"/>
      <c r="BA100" s="201"/>
      <c r="BB100" s="201"/>
      <c r="BC100" s="201"/>
      <c r="BD100" s="201"/>
      <c r="BE100" s="201"/>
      <c r="BF100" s="201"/>
      <c r="BG100" s="201"/>
      <c r="BH100" s="201"/>
      <c r="BI100" s="204"/>
      <c r="BJ100" s="204"/>
      <c r="BK100" s="204"/>
      <c r="BL100" s="206"/>
    </row>
    <row r="101" spans="34:64" ht="25.5" customHeight="1"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6"/>
      <c r="AT101" s="196"/>
      <c r="AU101" s="190"/>
      <c r="AV101" s="190"/>
      <c r="AW101" s="201"/>
      <c r="AX101" s="201"/>
      <c r="AY101" s="201"/>
      <c r="AZ101" s="190"/>
      <c r="BA101" s="201"/>
      <c r="BB101" s="201"/>
      <c r="BC101" s="201"/>
      <c r="BD101" s="201"/>
      <c r="BE101" s="201"/>
      <c r="BF101" s="201"/>
      <c r="BG101" s="201"/>
      <c r="BH101" s="201"/>
      <c r="BI101" s="204"/>
      <c r="BJ101" s="204"/>
      <c r="BK101" s="204"/>
      <c r="BL101" s="206"/>
    </row>
    <row r="102" spans="34:64" ht="25.5" customHeight="1"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6"/>
      <c r="AT102" s="196"/>
      <c r="AU102" s="190"/>
      <c r="AV102" s="190"/>
      <c r="AW102" s="201"/>
      <c r="AX102" s="201"/>
      <c r="AY102" s="201"/>
      <c r="AZ102" s="190"/>
      <c r="BA102" s="201"/>
      <c r="BB102" s="201"/>
      <c r="BC102" s="201"/>
      <c r="BD102" s="201"/>
      <c r="BE102" s="201"/>
      <c r="BF102" s="201"/>
      <c r="BG102" s="201"/>
      <c r="BH102" s="201"/>
      <c r="BI102" s="204"/>
      <c r="BJ102" s="204"/>
      <c r="BK102" s="204"/>
      <c r="BL102" s="206"/>
    </row>
    <row r="103" spans="34:64" ht="25.5" customHeight="1"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6"/>
      <c r="AT103" s="196"/>
      <c r="AU103" s="190"/>
      <c r="AV103" s="190"/>
      <c r="AW103" s="201"/>
      <c r="AX103" s="201"/>
      <c r="AY103" s="201"/>
      <c r="AZ103" s="190"/>
      <c r="BA103" s="201"/>
      <c r="BB103" s="201"/>
      <c r="BC103" s="201"/>
      <c r="BD103" s="201"/>
      <c r="BE103" s="201"/>
      <c r="BF103" s="201"/>
      <c r="BG103" s="201"/>
      <c r="BH103" s="201"/>
      <c r="BI103" s="204"/>
      <c r="BJ103" s="204"/>
      <c r="BK103" s="204"/>
      <c r="BL103" s="206"/>
    </row>
    <row r="104" spans="34:64" ht="25.5" customHeight="1"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6"/>
      <c r="AT104" s="196"/>
      <c r="AU104" s="190"/>
      <c r="AV104" s="190"/>
      <c r="AW104" s="201"/>
      <c r="AX104" s="201"/>
      <c r="AY104" s="201"/>
      <c r="AZ104" s="190"/>
      <c r="BA104" s="201"/>
      <c r="BB104" s="201"/>
      <c r="BC104" s="201"/>
      <c r="BD104" s="201"/>
      <c r="BE104" s="201"/>
      <c r="BF104" s="201"/>
      <c r="BG104" s="201"/>
      <c r="BH104" s="201"/>
      <c r="BI104" s="204"/>
      <c r="BJ104" s="204"/>
      <c r="BK104" s="204"/>
      <c r="BL104" s="206"/>
    </row>
    <row r="105" spans="34:64" ht="25.5" customHeight="1"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6"/>
      <c r="AT105" s="196"/>
      <c r="AU105" s="190"/>
      <c r="AV105" s="190"/>
      <c r="AW105" s="201"/>
      <c r="AX105" s="201"/>
      <c r="AY105" s="201"/>
      <c r="AZ105" s="190"/>
      <c r="BA105" s="201"/>
      <c r="BB105" s="201"/>
      <c r="BC105" s="201"/>
      <c r="BD105" s="201"/>
      <c r="BE105" s="201"/>
      <c r="BF105" s="201"/>
      <c r="BG105" s="201"/>
      <c r="BH105" s="201"/>
      <c r="BI105" s="204"/>
      <c r="BJ105" s="204"/>
      <c r="BK105" s="204"/>
      <c r="BL105" s="206"/>
    </row>
    <row r="106" spans="34:64" ht="25.5" customHeight="1"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6"/>
      <c r="AT106" s="196"/>
      <c r="AU106" s="190"/>
      <c r="AV106" s="190"/>
      <c r="AW106" s="201"/>
      <c r="AX106" s="201"/>
      <c r="AY106" s="201"/>
      <c r="AZ106" s="190"/>
      <c r="BA106" s="201"/>
      <c r="BB106" s="201"/>
      <c r="BC106" s="201"/>
      <c r="BD106" s="201"/>
      <c r="BE106" s="201"/>
      <c r="BF106" s="201"/>
      <c r="BG106" s="201"/>
      <c r="BH106" s="201"/>
      <c r="BI106" s="204"/>
      <c r="BJ106" s="204"/>
      <c r="BK106" s="204"/>
      <c r="BL106" s="206"/>
    </row>
    <row r="107" spans="34:64" ht="25.5" customHeight="1"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6"/>
      <c r="AT107" s="196"/>
      <c r="AU107" s="190"/>
      <c r="AV107" s="190"/>
      <c r="AW107" s="201"/>
      <c r="AX107" s="201"/>
      <c r="AY107" s="201"/>
      <c r="AZ107" s="190"/>
      <c r="BA107" s="201"/>
      <c r="BB107" s="201"/>
      <c r="BC107" s="201"/>
      <c r="BD107" s="201"/>
      <c r="BE107" s="201"/>
      <c r="BF107" s="201"/>
      <c r="BG107" s="201"/>
      <c r="BH107" s="201"/>
      <c r="BI107" s="204"/>
      <c r="BJ107" s="204"/>
      <c r="BK107" s="204"/>
      <c r="BL107" s="206"/>
    </row>
    <row r="108" spans="34:64" ht="25.5" customHeight="1"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6"/>
      <c r="AT108" s="196"/>
      <c r="AU108" s="190"/>
      <c r="AV108" s="190"/>
      <c r="AW108" s="201"/>
      <c r="AX108" s="201"/>
      <c r="AY108" s="201"/>
      <c r="AZ108" s="190"/>
      <c r="BA108" s="201"/>
      <c r="BB108" s="201"/>
      <c r="BC108" s="201"/>
      <c r="BD108" s="201"/>
      <c r="BE108" s="201"/>
      <c r="BF108" s="201"/>
      <c r="BG108" s="201"/>
      <c r="BH108" s="201"/>
      <c r="BI108" s="204"/>
      <c r="BJ108" s="204"/>
      <c r="BK108" s="204"/>
      <c r="BL108" s="206"/>
    </row>
    <row r="109" spans="34:64" ht="25.5" customHeight="1"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6"/>
      <c r="AT109" s="196"/>
      <c r="AU109" s="190"/>
      <c r="AV109" s="190"/>
      <c r="AW109" s="201"/>
      <c r="AX109" s="201"/>
      <c r="AY109" s="201"/>
      <c r="AZ109" s="190"/>
      <c r="BA109" s="201"/>
      <c r="BB109" s="201"/>
      <c r="BC109" s="201"/>
      <c r="BD109" s="201"/>
      <c r="BE109" s="201"/>
      <c r="BF109" s="201"/>
      <c r="BG109" s="201"/>
      <c r="BH109" s="201"/>
      <c r="BI109" s="204"/>
      <c r="BJ109" s="204"/>
      <c r="BK109" s="204"/>
      <c r="BL109" s="206"/>
    </row>
    <row r="110" spans="34:64" ht="25.5" customHeight="1"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6"/>
      <c r="AT110" s="196"/>
      <c r="AU110" s="190"/>
      <c r="AV110" s="190"/>
      <c r="AW110" s="201"/>
      <c r="AX110" s="201"/>
      <c r="AY110" s="201"/>
      <c r="AZ110" s="190"/>
      <c r="BA110" s="201"/>
      <c r="BB110" s="201"/>
      <c r="BC110" s="201"/>
      <c r="BD110" s="201"/>
      <c r="BE110" s="201"/>
      <c r="BF110" s="201"/>
      <c r="BG110" s="201"/>
      <c r="BH110" s="201"/>
      <c r="BI110" s="204"/>
      <c r="BJ110" s="204"/>
      <c r="BK110" s="204"/>
      <c r="BL110" s="206"/>
    </row>
    <row r="111" spans="34:64" ht="25.5" customHeight="1"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6"/>
      <c r="AT111" s="196"/>
      <c r="AU111" s="190"/>
      <c r="AV111" s="190"/>
      <c r="AW111" s="201"/>
      <c r="AX111" s="201"/>
      <c r="AY111" s="201"/>
      <c r="AZ111" s="190"/>
      <c r="BA111" s="201"/>
      <c r="BB111" s="201"/>
      <c r="BC111" s="201"/>
      <c r="BD111" s="201"/>
      <c r="BE111" s="201"/>
      <c r="BF111" s="201"/>
      <c r="BG111" s="201"/>
      <c r="BH111" s="201"/>
      <c r="BI111" s="204"/>
      <c r="BJ111" s="204"/>
      <c r="BK111" s="204"/>
      <c r="BL111" s="206"/>
    </row>
    <row r="112" spans="34:64" ht="25.5" customHeight="1"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6"/>
      <c r="AT112" s="196"/>
      <c r="AU112" s="190"/>
      <c r="AV112" s="190"/>
      <c r="AW112" s="201"/>
      <c r="AX112" s="201"/>
      <c r="AY112" s="201"/>
      <c r="AZ112" s="190"/>
      <c r="BA112" s="201"/>
      <c r="BB112" s="201"/>
      <c r="BC112" s="201"/>
      <c r="BD112" s="201"/>
      <c r="BE112" s="201"/>
      <c r="BF112" s="201"/>
      <c r="BG112" s="201"/>
      <c r="BH112" s="201"/>
      <c r="BI112" s="204"/>
      <c r="BJ112" s="204"/>
      <c r="BK112" s="204"/>
      <c r="BL112" s="206"/>
    </row>
    <row r="113" spans="34:64" ht="25.5" customHeight="1"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6"/>
      <c r="AT113" s="196"/>
      <c r="AU113" s="190"/>
      <c r="AV113" s="190"/>
      <c r="AW113" s="201"/>
      <c r="AX113" s="201"/>
      <c r="AY113" s="201"/>
      <c r="AZ113" s="190"/>
      <c r="BA113" s="201"/>
      <c r="BB113" s="201"/>
      <c r="BC113" s="201"/>
      <c r="BD113" s="201"/>
      <c r="BE113" s="201"/>
      <c r="BF113" s="201"/>
      <c r="BG113" s="201"/>
      <c r="BH113" s="201"/>
      <c r="BI113" s="204"/>
      <c r="BJ113" s="204"/>
      <c r="BK113" s="204"/>
      <c r="BL113" s="206"/>
    </row>
    <row r="114" spans="34:64" ht="25.5" customHeight="1"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6"/>
      <c r="AT114" s="196"/>
      <c r="AU114" s="190"/>
      <c r="AV114" s="190"/>
      <c r="AW114" s="201"/>
      <c r="AX114" s="201"/>
      <c r="AY114" s="201"/>
      <c r="AZ114" s="190"/>
      <c r="BA114" s="201"/>
      <c r="BB114" s="201"/>
      <c r="BC114" s="201"/>
      <c r="BD114" s="201"/>
      <c r="BE114" s="201"/>
      <c r="BF114" s="201"/>
      <c r="BG114" s="201"/>
      <c r="BH114" s="201"/>
      <c r="BI114" s="204"/>
      <c r="BJ114" s="204"/>
      <c r="BK114" s="204"/>
      <c r="BL114" s="206"/>
    </row>
    <row r="115" spans="34:64" ht="25.5" customHeight="1"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6"/>
      <c r="AT115" s="196"/>
      <c r="AU115" s="190"/>
      <c r="AV115" s="190"/>
      <c r="AW115" s="201"/>
      <c r="AX115" s="201"/>
      <c r="AY115" s="201"/>
      <c r="AZ115" s="190"/>
      <c r="BA115" s="201"/>
      <c r="BB115" s="201"/>
      <c r="BC115" s="201"/>
      <c r="BD115" s="201"/>
      <c r="BE115" s="201"/>
      <c r="BF115" s="201"/>
      <c r="BG115" s="201"/>
      <c r="BH115" s="201"/>
      <c r="BI115" s="204"/>
      <c r="BJ115" s="204"/>
      <c r="BK115" s="204"/>
      <c r="BL115" s="206"/>
    </row>
    <row r="116" spans="34:64" ht="25.5" customHeight="1"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6"/>
      <c r="AT116" s="196"/>
      <c r="AU116" s="190"/>
      <c r="AV116" s="190"/>
      <c r="AW116" s="201"/>
      <c r="AX116" s="201"/>
      <c r="AY116" s="201"/>
      <c r="AZ116" s="190"/>
      <c r="BA116" s="201"/>
      <c r="BB116" s="201"/>
      <c r="BC116" s="201"/>
      <c r="BD116" s="201"/>
      <c r="BE116" s="201"/>
      <c r="BF116" s="201"/>
      <c r="BG116" s="201"/>
      <c r="BH116" s="201"/>
      <c r="BI116" s="204"/>
      <c r="BJ116" s="204"/>
      <c r="BK116" s="204"/>
      <c r="BL116" s="206"/>
    </row>
    <row r="117" spans="34:64" ht="25.5" customHeight="1"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6"/>
      <c r="AT117" s="196"/>
      <c r="AU117" s="190"/>
      <c r="AV117" s="190"/>
      <c r="AW117" s="201"/>
      <c r="AX117" s="201"/>
      <c r="AY117" s="201"/>
      <c r="AZ117" s="190"/>
      <c r="BA117" s="201"/>
      <c r="BB117" s="201"/>
      <c r="BC117" s="201"/>
      <c r="BD117" s="201"/>
      <c r="BE117" s="201"/>
      <c r="BF117" s="201"/>
      <c r="BG117" s="201"/>
      <c r="BH117" s="201"/>
      <c r="BI117" s="204"/>
      <c r="BJ117" s="204"/>
      <c r="BK117" s="204"/>
      <c r="BL117" s="206"/>
    </row>
    <row r="118" spans="34:64" ht="25.5" customHeight="1"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6"/>
      <c r="AT118" s="196"/>
      <c r="AU118" s="190"/>
      <c r="AV118" s="190"/>
      <c r="AW118" s="201"/>
      <c r="AX118" s="201"/>
      <c r="AY118" s="201"/>
      <c r="AZ118" s="190"/>
      <c r="BA118" s="201"/>
      <c r="BB118" s="201"/>
      <c r="BC118" s="201"/>
      <c r="BD118" s="201"/>
      <c r="BE118" s="201"/>
      <c r="BF118" s="201"/>
      <c r="BG118" s="201"/>
      <c r="BH118" s="201"/>
      <c r="BI118" s="204"/>
      <c r="BJ118" s="204"/>
      <c r="BK118" s="204"/>
      <c r="BL118" s="206"/>
    </row>
    <row r="119" spans="34:64" ht="25.5" customHeight="1"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6"/>
      <c r="AT119" s="196"/>
      <c r="AU119" s="190"/>
      <c r="AV119" s="190"/>
      <c r="AW119" s="201"/>
      <c r="AX119" s="201"/>
      <c r="AY119" s="201"/>
      <c r="AZ119" s="190"/>
      <c r="BA119" s="201"/>
      <c r="BB119" s="201"/>
      <c r="BC119" s="201"/>
      <c r="BD119" s="201"/>
      <c r="BE119" s="201"/>
      <c r="BF119" s="201"/>
      <c r="BG119" s="201"/>
      <c r="BH119" s="201"/>
      <c r="BI119" s="204"/>
      <c r="BJ119" s="204"/>
      <c r="BK119" s="204"/>
      <c r="BL119" s="206"/>
    </row>
    <row r="120" spans="34:64" ht="25.5" customHeight="1"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6"/>
      <c r="AT120" s="196"/>
      <c r="AU120" s="190"/>
      <c r="AV120" s="190"/>
      <c r="AW120" s="201"/>
      <c r="AX120" s="201"/>
      <c r="AY120" s="201"/>
      <c r="AZ120" s="190"/>
      <c r="BA120" s="201"/>
      <c r="BB120" s="201"/>
      <c r="BC120" s="201"/>
      <c r="BD120" s="201"/>
      <c r="BE120" s="201"/>
      <c r="BF120" s="201"/>
      <c r="BG120" s="201"/>
      <c r="BH120" s="201"/>
      <c r="BI120" s="204"/>
      <c r="BJ120" s="204"/>
      <c r="BK120" s="204"/>
      <c r="BL120" s="206"/>
    </row>
    <row r="121" spans="34:64" ht="25.5" customHeight="1"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6"/>
      <c r="AT121" s="196"/>
      <c r="AU121" s="190"/>
      <c r="AV121" s="190"/>
      <c r="AW121" s="201"/>
      <c r="AX121" s="201"/>
      <c r="AY121" s="201"/>
      <c r="AZ121" s="190"/>
      <c r="BA121" s="201"/>
      <c r="BB121" s="201"/>
      <c r="BC121" s="201"/>
      <c r="BD121" s="201"/>
      <c r="BE121" s="201"/>
      <c r="BF121" s="201"/>
      <c r="BG121" s="201"/>
      <c r="BH121" s="201"/>
      <c r="BI121" s="204"/>
      <c r="BJ121" s="204"/>
      <c r="BK121" s="204"/>
      <c r="BL121" s="206"/>
    </row>
    <row r="122" spans="34:64" ht="25.5" customHeight="1"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6"/>
      <c r="AT122" s="196"/>
      <c r="AU122" s="190"/>
      <c r="AV122" s="190"/>
      <c r="AW122" s="201"/>
      <c r="AX122" s="201"/>
      <c r="AY122" s="201"/>
      <c r="AZ122" s="190"/>
      <c r="BA122" s="201"/>
      <c r="BB122" s="201"/>
      <c r="BC122" s="201"/>
      <c r="BD122" s="201"/>
      <c r="BE122" s="201"/>
      <c r="BF122" s="201"/>
      <c r="BG122" s="201"/>
      <c r="BH122" s="201"/>
      <c r="BI122" s="204"/>
      <c r="BJ122" s="204"/>
      <c r="BK122" s="204"/>
      <c r="BL122" s="206"/>
    </row>
    <row r="123" spans="34:64" ht="25.5" customHeight="1"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6"/>
      <c r="AT123" s="196"/>
      <c r="AU123" s="190"/>
      <c r="AV123" s="190"/>
      <c r="AW123" s="201"/>
      <c r="AX123" s="201"/>
      <c r="AY123" s="201"/>
      <c r="AZ123" s="190"/>
      <c r="BA123" s="201"/>
      <c r="BB123" s="201"/>
      <c r="BC123" s="201"/>
      <c r="BD123" s="201"/>
      <c r="BE123" s="201"/>
      <c r="BF123" s="201"/>
      <c r="BG123" s="201"/>
      <c r="BH123" s="201"/>
      <c r="BI123" s="204"/>
      <c r="BJ123" s="204"/>
      <c r="BK123" s="204"/>
      <c r="BL123" s="206"/>
    </row>
    <row r="124" spans="34:64" ht="25.5" customHeight="1"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6"/>
      <c r="AT124" s="196"/>
      <c r="AU124" s="190"/>
      <c r="AV124" s="190"/>
      <c r="AW124" s="201"/>
      <c r="AX124" s="201"/>
      <c r="AY124" s="201"/>
      <c r="AZ124" s="190"/>
      <c r="BA124" s="201"/>
      <c r="BB124" s="201"/>
      <c r="BC124" s="201"/>
      <c r="BD124" s="201"/>
      <c r="BE124" s="201"/>
      <c r="BF124" s="201"/>
      <c r="BG124" s="201"/>
      <c r="BH124" s="201"/>
      <c r="BI124" s="204"/>
      <c r="BJ124" s="204"/>
      <c r="BK124" s="204"/>
      <c r="BL124" s="206"/>
    </row>
    <row r="125" spans="34:64" ht="25.5" customHeight="1"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6"/>
      <c r="AT125" s="196"/>
      <c r="AU125" s="190"/>
      <c r="AV125" s="190"/>
      <c r="AW125" s="201"/>
      <c r="AX125" s="201"/>
      <c r="AY125" s="201"/>
      <c r="AZ125" s="190"/>
      <c r="BA125" s="201"/>
      <c r="BB125" s="201"/>
      <c r="BC125" s="201"/>
      <c r="BD125" s="201"/>
      <c r="BE125" s="201"/>
      <c r="BF125" s="201"/>
      <c r="BG125" s="201"/>
      <c r="BH125" s="201"/>
      <c r="BI125" s="204"/>
      <c r="BJ125" s="204"/>
      <c r="BK125" s="204"/>
      <c r="BL125" s="206"/>
    </row>
    <row r="126" spans="34:64" ht="25.5" customHeight="1"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6"/>
      <c r="AT126" s="196"/>
      <c r="AU126" s="190"/>
      <c r="AV126" s="190"/>
      <c r="AW126" s="201"/>
      <c r="AX126" s="201"/>
      <c r="AY126" s="201"/>
      <c r="AZ126" s="190"/>
      <c r="BA126" s="201"/>
      <c r="BB126" s="201"/>
      <c r="BC126" s="201"/>
      <c r="BD126" s="201"/>
      <c r="BE126" s="201"/>
      <c r="BF126" s="201"/>
      <c r="BG126" s="201"/>
      <c r="BH126" s="201"/>
      <c r="BI126" s="204"/>
      <c r="BJ126" s="204"/>
      <c r="BK126" s="204"/>
      <c r="BL126" s="206"/>
    </row>
    <row r="127" spans="34:64" ht="25.5" customHeight="1"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6"/>
      <c r="AT127" s="196"/>
      <c r="AU127" s="190"/>
      <c r="AV127" s="190"/>
      <c r="AW127" s="201"/>
      <c r="AX127" s="201"/>
      <c r="AY127" s="201"/>
      <c r="AZ127" s="190"/>
      <c r="BA127" s="201"/>
      <c r="BB127" s="201"/>
      <c r="BC127" s="201"/>
      <c r="BD127" s="201"/>
      <c r="BE127" s="201"/>
      <c r="BF127" s="201"/>
      <c r="BG127" s="201"/>
      <c r="BH127" s="201"/>
      <c r="BI127" s="204"/>
      <c r="BJ127" s="204"/>
      <c r="BK127" s="204"/>
      <c r="BL127" s="206"/>
    </row>
    <row r="128" spans="34:64" ht="25.5" customHeight="1"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6"/>
      <c r="AT128" s="196"/>
      <c r="AU128" s="190"/>
      <c r="AV128" s="190"/>
      <c r="AW128" s="201"/>
      <c r="AX128" s="201"/>
      <c r="AY128" s="201"/>
      <c r="AZ128" s="190"/>
      <c r="BA128" s="201"/>
      <c r="BB128" s="201"/>
      <c r="BC128" s="201"/>
      <c r="BD128" s="201"/>
      <c r="BE128" s="201"/>
      <c r="BF128" s="201"/>
      <c r="BG128" s="201"/>
      <c r="BH128" s="201"/>
      <c r="BI128" s="204"/>
      <c r="BJ128" s="204"/>
      <c r="BK128" s="204"/>
      <c r="BL128" s="206"/>
    </row>
    <row r="129" spans="34:64" ht="25.5" customHeight="1"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6"/>
      <c r="AT129" s="196"/>
      <c r="AU129" s="190"/>
      <c r="AV129" s="190"/>
      <c r="AW129" s="201"/>
      <c r="AX129" s="201"/>
      <c r="AY129" s="201"/>
      <c r="AZ129" s="190"/>
      <c r="BA129" s="201"/>
      <c r="BB129" s="201"/>
      <c r="BC129" s="201"/>
      <c r="BD129" s="201"/>
      <c r="BE129" s="201"/>
      <c r="BF129" s="201"/>
      <c r="BG129" s="201"/>
      <c r="BH129" s="201"/>
      <c r="BI129" s="204"/>
      <c r="BJ129" s="204"/>
      <c r="BK129" s="204"/>
      <c r="BL129" s="206"/>
    </row>
    <row r="130" spans="34:64" ht="25.5" customHeight="1"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6"/>
      <c r="AT130" s="196"/>
      <c r="AU130" s="190"/>
      <c r="AV130" s="190"/>
      <c r="AW130" s="201"/>
      <c r="AX130" s="201"/>
      <c r="AY130" s="201"/>
      <c r="AZ130" s="190"/>
      <c r="BA130" s="201"/>
      <c r="BB130" s="201"/>
      <c r="BC130" s="201"/>
      <c r="BD130" s="201"/>
      <c r="BE130" s="201"/>
      <c r="BF130" s="201"/>
      <c r="BG130" s="201"/>
      <c r="BH130" s="201"/>
      <c r="BI130" s="204"/>
      <c r="BJ130" s="204"/>
      <c r="BK130" s="204"/>
      <c r="BL130" s="206"/>
    </row>
    <row r="131" spans="34:64" ht="25.5" customHeight="1"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6"/>
      <c r="AT131" s="196"/>
      <c r="AU131" s="190"/>
      <c r="AV131" s="190"/>
      <c r="AW131" s="201"/>
      <c r="AX131" s="201"/>
      <c r="AY131" s="201"/>
      <c r="AZ131" s="190"/>
      <c r="BA131" s="201"/>
      <c r="BB131" s="201"/>
      <c r="BC131" s="201"/>
      <c r="BD131" s="201"/>
      <c r="BE131" s="201"/>
      <c r="BF131" s="201"/>
      <c r="BG131" s="201"/>
      <c r="BH131" s="201"/>
      <c r="BI131" s="204"/>
      <c r="BJ131" s="204"/>
      <c r="BK131" s="204"/>
      <c r="BL131" s="206"/>
    </row>
    <row r="132" spans="34:64" ht="25.5" customHeight="1"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6"/>
      <c r="AT132" s="196"/>
      <c r="AU132" s="190"/>
      <c r="AV132" s="190"/>
      <c r="AW132" s="201"/>
      <c r="AX132" s="201"/>
      <c r="AY132" s="201"/>
      <c r="AZ132" s="190"/>
      <c r="BA132" s="201"/>
      <c r="BB132" s="201"/>
      <c r="BC132" s="201"/>
      <c r="BD132" s="201"/>
      <c r="BE132" s="201"/>
      <c r="BF132" s="201"/>
      <c r="BG132" s="201"/>
      <c r="BH132" s="201"/>
      <c r="BI132" s="204"/>
      <c r="BJ132" s="204"/>
      <c r="BK132" s="204"/>
      <c r="BL132" s="206"/>
    </row>
    <row r="133" spans="34:64" ht="25.5" customHeight="1"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6"/>
      <c r="AT133" s="196"/>
      <c r="AU133" s="190"/>
      <c r="AV133" s="190"/>
      <c r="AW133" s="201"/>
      <c r="AX133" s="201"/>
      <c r="AY133" s="201"/>
      <c r="AZ133" s="190"/>
      <c r="BA133" s="201"/>
      <c r="BB133" s="201"/>
      <c r="BC133" s="201"/>
      <c r="BD133" s="201"/>
      <c r="BE133" s="201"/>
      <c r="BF133" s="201"/>
      <c r="BG133" s="201"/>
      <c r="BH133" s="201"/>
      <c r="BI133" s="204"/>
      <c r="BJ133" s="204"/>
      <c r="BK133" s="204"/>
      <c r="BL133" s="206"/>
    </row>
    <row r="134" spans="34:64" ht="25.5" customHeight="1"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6"/>
      <c r="AT134" s="196"/>
      <c r="AU134" s="190"/>
      <c r="AV134" s="190"/>
      <c r="AW134" s="201"/>
      <c r="AX134" s="201"/>
      <c r="AY134" s="201"/>
      <c r="AZ134" s="190"/>
      <c r="BA134" s="201"/>
      <c r="BB134" s="201"/>
      <c r="BC134" s="201"/>
      <c r="BD134" s="201"/>
      <c r="BE134" s="201"/>
      <c r="BF134" s="201"/>
      <c r="BG134" s="201"/>
      <c r="BH134" s="201"/>
      <c r="BI134" s="204"/>
      <c r="BJ134" s="204"/>
      <c r="BK134" s="204"/>
      <c r="BL134" s="206"/>
    </row>
    <row r="135" spans="34:64" ht="25.5" customHeight="1"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6"/>
      <c r="AT135" s="196"/>
      <c r="AU135" s="190"/>
      <c r="AV135" s="190"/>
      <c r="AW135" s="201"/>
      <c r="AX135" s="201"/>
      <c r="AY135" s="201"/>
      <c r="AZ135" s="190"/>
      <c r="BA135" s="201"/>
      <c r="BB135" s="201"/>
      <c r="BC135" s="201"/>
      <c r="BD135" s="201"/>
      <c r="BE135" s="201"/>
      <c r="BF135" s="201"/>
      <c r="BG135" s="201"/>
      <c r="BH135" s="201"/>
      <c r="BI135" s="204"/>
      <c r="BJ135" s="204"/>
      <c r="BK135" s="204"/>
      <c r="BL135" s="206"/>
    </row>
    <row r="136" spans="34:64" ht="25.5" customHeight="1"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6"/>
      <c r="AT136" s="196"/>
      <c r="AU136" s="190"/>
      <c r="AV136" s="190"/>
      <c r="AW136" s="201"/>
      <c r="AX136" s="201"/>
      <c r="AY136" s="201"/>
      <c r="AZ136" s="190"/>
      <c r="BA136" s="201"/>
      <c r="BB136" s="201"/>
      <c r="BC136" s="201"/>
      <c r="BD136" s="201"/>
      <c r="BE136" s="201"/>
      <c r="BF136" s="201"/>
      <c r="BG136" s="201"/>
      <c r="BH136" s="201"/>
      <c r="BI136" s="204"/>
      <c r="BJ136" s="204"/>
      <c r="BK136" s="204"/>
      <c r="BL136" s="206"/>
    </row>
    <row r="137" spans="34:64" ht="25.5" customHeight="1"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6"/>
      <c r="AT137" s="196"/>
      <c r="AU137" s="190"/>
      <c r="AV137" s="190"/>
      <c r="AW137" s="201"/>
      <c r="AX137" s="201"/>
      <c r="AY137" s="201"/>
      <c r="AZ137" s="190"/>
      <c r="BA137" s="201"/>
      <c r="BB137" s="201"/>
      <c r="BC137" s="201"/>
      <c r="BD137" s="201"/>
      <c r="BE137" s="201"/>
      <c r="BF137" s="201"/>
      <c r="BG137" s="201"/>
      <c r="BH137" s="201"/>
      <c r="BI137" s="204"/>
      <c r="BJ137" s="204"/>
      <c r="BK137" s="204"/>
      <c r="BL137" s="206"/>
    </row>
    <row r="138" spans="34:64" ht="25.5" customHeight="1"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6"/>
      <c r="AT138" s="196"/>
      <c r="AU138" s="190"/>
      <c r="AV138" s="190"/>
      <c r="AW138" s="201"/>
      <c r="AX138" s="201"/>
      <c r="AY138" s="201"/>
      <c r="AZ138" s="190"/>
      <c r="BA138" s="201"/>
      <c r="BB138" s="201"/>
      <c r="BC138" s="201"/>
      <c r="BD138" s="201"/>
      <c r="BE138" s="201"/>
      <c r="BF138" s="201"/>
      <c r="BG138" s="201"/>
      <c r="BH138" s="201"/>
      <c r="BI138" s="204"/>
      <c r="BJ138" s="204"/>
      <c r="BK138" s="204"/>
      <c r="BL138" s="206"/>
    </row>
    <row r="139" spans="34:64" ht="15.75"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6"/>
      <c r="AT139" s="196"/>
      <c r="AU139" s="190"/>
      <c r="AV139" s="190"/>
      <c r="AW139" s="201"/>
      <c r="AX139" s="201"/>
      <c r="AY139" s="201"/>
      <c r="AZ139" s="190"/>
      <c r="BA139" s="201"/>
      <c r="BB139" s="201"/>
      <c r="BC139" s="201"/>
      <c r="BD139" s="201"/>
      <c r="BE139" s="201"/>
      <c r="BF139" s="201"/>
      <c r="BG139" s="201"/>
      <c r="BH139" s="201"/>
      <c r="BI139" s="204"/>
      <c r="BJ139" s="204"/>
      <c r="BK139" s="204"/>
      <c r="BL139" s="206"/>
    </row>
    <row r="140" spans="34:64" ht="15.75"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6"/>
      <c r="AT140" s="196"/>
      <c r="AU140" s="190"/>
      <c r="AV140" s="190"/>
      <c r="AW140" s="201"/>
      <c r="AX140" s="201"/>
      <c r="AY140" s="201"/>
      <c r="AZ140" s="190"/>
      <c r="BA140" s="201"/>
      <c r="BB140" s="201"/>
      <c r="BC140" s="201"/>
      <c r="BD140" s="201"/>
      <c r="BE140" s="201"/>
      <c r="BF140" s="201"/>
      <c r="BG140" s="201"/>
      <c r="BH140" s="201"/>
      <c r="BI140" s="204"/>
      <c r="BJ140" s="204"/>
      <c r="BK140" s="204"/>
      <c r="BL140" s="206"/>
    </row>
    <row r="141" spans="34:64" ht="15.75"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6"/>
      <c r="AT141" s="196"/>
      <c r="AU141" s="190"/>
      <c r="AV141" s="190"/>
      <c r="AW141" s="201"/>
      <c r="AX141" s="201"/>
      <c r="AY141" s="201"/>
      <c r="AZ141" s="190"/>
      <c r="BA141" s="201"/>
      <c r="BB141" s="201"/>
      <c r="BC141" s="201"/>
      <c r="BD141" s="201"/>
      <c r="BE141" s="201"/>
      <c r="BF141" s="201"/>
      <c r="BG141" s="201"/>
      <c r="BH141" s="201"/>
      <c r="BI141" s="204"/>
      <c r="BJ141" s="204"/>
      <c r="BK141" s="204"/>
      <c r="BL141" s="206"/>
    </row>
    <row r="142" spans="34:64" ht="15.75"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6"/>
      <c r="AT142" s="196"/>
      <c r="AU142" s="190"/>
      <c r="AV142" s="190"/>
      <c r="AW142" s="201"/>
      <c r="AX142" s="201"/>
      <c r="AY142" s="201"/>
      <c r="AZ142" s="190"/>
      <c r="BA142" s="201"/>
      <c r="BB142" s="201"/>
      <c r="BC142" s="201"/>
      <c r="BD142" s="201"/>
      <c r="BE142" s="201"/>
      <c r="BF142" s="201"/>
      <c r="BG142" s="201"/>
      <c r="BH142" s="201"/>
      <c r="BI142" s="204"/>
      <c r="BJ142" s="204"/>
      <c r="BK142" s="204"/>
      <c r="BL142" s="206"/>
    </row>
    <row r="143" spans="34:64" ht="15.75"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6"/>
      <c r="AT143" s="196"/>
      <c r="AU143" s="190"/>
      <c r="AV143" s="190"/>
      <c r="AW143" s="201"/>
      <c r="AX143" s="201"/>
      <c r="AY143" s="201"/>
      <c r="AZ143" s="190"/>
      <c r="BA143" s="201"/>
      <c r="BB143" s="201"/>
      <c r="BC143" s="201"/>
      <c r="BD143" s="201"/>
      <c r="BE143" s="201"/>
      <c r="BF143" s="201"/>
      <c r="BG143" s="201"/>
      <c r="BH143" s="201"/>
      <c r="BI143" s="204"/>
      <c r="BJ143" s="204"/>
      <c r="BK143" s="204"/>
      <c r="BL143" s="206"/>
    </row>
    <row r="144" spans="34:64" ht="15.75"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6"/>
      <c r="AT144" s="196"/>
      <c r="AU144" s="190"/>
      <c r="AV144" s="190"/>
      <c r="AW144" s="201"/>
      <c r="AX144" s="201"/>
      <c r="AY144" s="201"/>
      <c r="AZ144" s="190"/>
      <c r="BA144" s="201"/>
      <c r="BB144" s="201"/>
      <c r="BC144" s="201"/>
      <c r="BD144" s="201"/>
      <c r="BE144" s="201"/>
      <c r="BF144" s="201"/>
      <c r="BG144" s="201"/>
      <c r="BH144" s="201"/>
      <c r="BI144" s="204"/>
      <c r="BJ144" s="204"/>
      <c r="BK144" s="204"/>
      <c r="BL144" s="206"/>
    </row>
    <row r="145" spans="34:64" ht="15.75"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6"/>
      <c r="AT145" s="196"/>
      <c r="AU145" s="190"/>
      <c r="AV145" s="190"/>
      <c r="AW145" s="201"/>
      <c r="AX145" s="201"/>
      <c r="AY145" s="201"/>
      <c r="AZ145" s="190"/>
      <c r="BA145" s="201"/>
      <c r="BB145" s="201"/>
      <c r="BC145" s="201"/>
      <c r="BD145" s="201"/>
      <c r="BE145" s="201"/>
      <c r="BF145" s="201"/>
      <c r="BG145" s="201"/>
      <c r="BH145" s="201"/>
      <c r="BI145" s="204"/>
      <c r="BJ145" s="204"/>
      <c r="BK145" s="204"/>
      <c r="BL145" s="206"/>
    </row>
    <row r="146" spans="34:64" ht="15.75"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6"/>
      <c r="AT146" s="196"/>
      <c r="AU146" s="190"/>
      <c r="AV146" s="190"/>
      <c r="AW146" s="201"/>
      <c r="AX146" s="201"/>
      <c r="AY146" s="201"/>
      <c r="AZ146" s="190"/>
      <c r="BA146" s="201"/>
      <c r="BB146" s="201"/>
      <c r="BC146" s="201"/>
      <c r="BD146" s="201"/>
      <c r="BE146" s="201"/>
      <c r="BF146" s="201"/>
      <c r="BG146" s="201"/>
      <c r="BH146" s="201"/>
      <c r="BI146" s="204"/>
      <c r="BJ146" s="204"/>
      <c r="BK146" s="204"/>
      <c r="BL146" s="206"/>
    </row>
    <row r="147" spans="34:64" ht="15.75"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6"/>
      <c r="AT147" s="196"/>
      <c r="AU147" s="190"/>
      <c r="AV147" s="190"/>
      <c r="AW147" s="201"/>
      <c r="AX147" s="201"/>
      <c r="AY147" s="201"/>
      <c r="AZ147" s="190"/>
      <c r="BA147" s="201"/>
      <c r="BB147" s="201"/>
      <c r="BC147" s="201"/>
      <c r="BD147" s="201"/>
      <c r="BE147" s="201"/>
      <c r="BF147" s="201"/>
      <c r="BG147" s="201"/>
      <c r="BH147" s="201"/>
      <c r="BI147" s="204"/>
      <c r="BJ147" s="204"/>
      <c r="BK147" s="204"/>
      <c r="BL147" s="206"/>
    </row>
    <row r="148" spans="34:64" ht="15.75"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6"/>
      <c r="AT148" s="196"/>
      <c r="AU148" s="190"/>
      <c r="AV148" s="190"/>
      <c r="AW148" s="201"/>
      <c r="AX148" s="201"/>
      <c r="AY148" s="201"/>
      <c r="AZ148" s="190"/>
      <c r="BA148" s="201"/>
      <c r="BB148" s="201"/>
      <c r="BC148" s="201"/>
      <c r="BD148" s="201"/>
      <c r="BE148" s="201"/>
      <c r="BF148" s="201"/>
      <c r="BG148" s="201"/>
      <c r="BH148" s="201"/>
      <c r="BI148" s="204"/>
      <c r="BJ148" s="204"/>
      <c r="BK148" s="204"/>
      <c r="BL148" s="206"/>
    </row>
    <row r="149" spans="34:64" ht="15.75"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6"/>
      <c r="AT149" s="196"/>
      <c r="AU149" s="190"/>
      <c r="AV149" s="190"/>
      <c r="AW149" s="201"/>
      <c r="AX149" s="201"/>
      <c r="AY149" s="201"/>
      <c r="AZ149" s="190"/>
      <c r="BA149" s="201"/>
      <c r="BB149" s="201"/>
      <c r="BC149" s="201"/>
      <c r="BD149" s="201"/>
      <c r="BE149" s="201"/>
      <c r="BF149" s="201"/>
      <c r="BG149" s="201"/>
      <c r="BH149" s="201"/>
      <c r="BI149" s="204"/>
      <c r="BJ149" s="204"/>
      <c r="BK149" s="204"/>
      <c r="BL149" s="206"/>
    </row>
    <row r="150" spans="34:64" ht="15.75"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6"/>
      <c r="AT150" s="196"/>
      <c r="AU150" s="190"/>
      <c r="AV150" s="190"/>
      <c r="AW150" s="201"/>
      <c r="AX150" s="201"/>
      <c r="AY150" s="201"/>
      <c r="AZ150" s="190"/>
      <c r="BA150" s="201"/>
      <c r="BB150" s="201"/>
      <c r="BC150" s="201"/>
      <c r="BD150" s="201"/>
      <c r="BE150" s="201"/>
      <c r="BF150" s="201"/>
      <c r="BG150" s="201"/>
      <c r="BH150" s="201"/>
      <c r="BI150" s="204"/>
      <c r="BJ150" s="204"/>
      <c r="BK150" s="204"/>
      <c r="BL150" s="206"/>
    </row>
    <row r="151" spans="34:64" ht="15.75"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6"/>
      <c r="AT151" s="196"/>
      <c r="AU151" s="190"/>
      <c r="AV151" s="190"/>
      <c r="AW151" s="201"/>
      <c r="AX151" s="201"/>
      <c r="AY151" s="201"/>
      <c r="AZ151" s="190"/>
      <c r="BA151" s="201"/>
      <c r="BB151" s="201"/>
      <c r="BC151" s="201"/>
      <c r="BD151" s="201"/>
      <c r="BE151" s="201"/>
      <c r="BF151" s="201"/>
      <c r="BG151" s="201"/>
      <c r="BH151" s="201"/>
      <c r="BI151" s="204"/>
      <c r="BJ151" s="204"/>
      <c r="BK151" s="204"/>
      <c r="BL151" s="206"/>
    </row>
    <row r="152" spans="34:64" ht="15.75"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6"/>
      <c r="AT152" s="196"/>
      <c r="AU152" s="190"/>
      <c r="AV152" s="190"/>
      <c r="AW152" s="201"/>
      <c r="AX152" s="201"/>
      <c r="AY152" s="201"/>
      <c r="AZ152" s="190"/>
      <c r="BA152" s="201"/>
      <c r="BB152" s="201"/>
      <c r="BC152" s="201"/>
      <c r="BD152" s="201"/>
      <c r="BE152" s="201"/>
      <c r="BF152" s="201"/>
      <c r="BG152" s="201"/>
      <c r="BH152" s="201"/>
      <c r="BI152" s="204"/>
      <c r="BJ152" s="204"/>
      <c r="BK152" s="204"/>
      <c r="BL152" s="206"/>
    </row>
    <row r="153" spans="34:64" ht="15.75"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6"/>
      <c r="AT153" s="196"/>
      <c r="AU153" s="190"/>
      <c r="AV153" s="190"/>
      <c r="AW153" s="201"/>
      <c r="AX153" s="201"/>
      <c r="AY153" s="201"/>
      <c r="AZ153" s="190"/>
      <c r="BA153" s="201"/>
      <c r="BB153" s="201"/>
      <c r="BC153" s="201"/>
      <c r="BD153" s="201"/>
      <c r="BE153" s="201"/>
      <c r="BF153" s="201"/>
      <c r="BG153" s="201"/>
      <c r="BH153" s="201"/>
      <c r="BI153" s="204"/>
      <c r="BJ153" s="204"/>
      <c r="BK153" s="204"/>
      <c r="BL153" s="206"/>
    </row>
    <row r="154" spans="34:64" ht="15.75"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6"/>
      <c r="AT154" s="196"/>
      <c r="AU154" s="190"/>
      <c r="AV154" s="190"/>
      <c r="AW154" s="201"/>
      <c r="AX154" s="201"/>
      <c r="AY154" s="201"/>
      <c r="AZ154" s="190"/>
      <c r="BA154" s="201"/>
      <c r="BB154" s="201"/>
      <c r="BC154" s="201"/>
      <c r="BD154" s="201"/>
      <c r="BE154" s="201"/>
      <c r="BF154" s="201"/>
      <c r="BG154" s="201"/>
      <c r="BH154" s="201"/>
      <c r="BI154" s="204"/>
      <c r="BJ154" s="204"/>
      <c r="BK154" s="204"/>
      <c r="BL154" s="206"/>
    </row>
    <row r="155" spans="34:64" ht="15.75"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6"/>
      <c r="AT155" s="196"/>
      <c r="AU155" s="190"/>
      <c r="AV155" s="190"/>
      <c r="AW155" s="201"/>
      <c r="AX155" s="201"/>
      <c r="AY155" s="201"/>
      <c r="AZ155" s="190"/>
      <c r="BA155" s="201"/>
      <c r="BB155" s="201"/>
      <c r="BC155" s="201"/>
      <c r="BD155" s="201"/>
      <c r="BE155" s="201"/>
      <c r="BF155" s="201"/>
      <c r="BG155" s="201"/>
      <c r="BH155" s="201"/>
      <c r="BI155" s="204"/>
      <c r="BJ155" s="204"/>
      <c r="BK155" s="204"/>
      <c r="BL155" s="206"/>
    </row>
    <row r="156" spans="34:64" ht="15.75"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6"/>
      <c r="AT156" s="196"/>
      <c r="AU156" s="190"/>
      <c r="AV156" s="190"/>
      <c r="AW156" s="201"/>
      <c r="AX156" s="201"/>
      <c r="AY156" s="201"/>
      <c r="AZ156" s="190"/>
      <c r="BA156" s="201"/>
      <c r="BB156" s="201"/>
      <c r="BC156" s="201"/>
      <c r="BD156" s="201"/>
      <c r="BE156" s="201"/>
      <c r="BF156" s="201"/>
      <c r="BG156" s="201"/>
      <c r="BH156" s="201"/>
      <c r="BI156" s="204"/>
      <c r="BJ156" s="204"/>
      <c r="BK156" s="204"/>
      <c r="BL156" s="206"/>
    </row>
    <row r="157" spans="34:64" ht="15.75"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6"/>
      <c r="AT157" s="196"/>
      <c r="AU157" s="190"/>
      <c r="AV157" s="190"/>
      <c r="AW157" s="201"/>
      <c r="AX157" s="201"/>
      <c r="AY157" s="201"/>
      <c r="AZ157" s="190"/>
      <c r="BA157" s="201"/>
      <c r="BB157" s="201"/>
      <c r="BC157" s="201"/>
      <c r="BD157" s="201"/>
      <c r="BE157" s="201"/>
      <c r="BF157" s="201"/>
      <c r="BG157" s="201"/>
      <c r="BH157" s="201"/>
      <c r="BI157" s="204"/>
      <c r="BJ157" s="204"/>
      <c r="BK157" s="204"/>
      <c r="BL157" s="206"/>
    </row>
    <row r="158" spans="34:64" ht="15.75"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6"/>
      <c r="AT158" s="196"/>
      <c r="AU158" s="190"/>
      <c r="AV158" s="190"/>
      <c r="AW158" s="201"/>
      <c r="AX158" s="201"/>
      <c r="AY158" s="201"/>
      <c r="AZ158" s="190"/>
      <c r="BA158" s="201"/>
      <c r="BB158" s="201"/>
      <c r="BC158" s="201"/>
      <c r="BD158" s="201"/>
      <c r="BE158" s="201"/>
      <c r="BF158" s="201"/>
      <c r="BG158" s="201"/>
      <c r="BH158" s="201"/>
      <c r="BI158" s="204"/>
      <c r="BJ158" s="204"/>
      <c r="BK158" s="204"/>
      <c r="BL158" s="206"/>
    </row>
    <row r="159" spans="34:64" ht="15.75"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6"/>
      <c r="AT159" s="196"/>
      <c r="AU159" s="190"/>
      <c r="AV159" s="190"/>
      <c r="AW159" s="201"/>
      <c r="AX159" s="201"/>
      <c r="AY159" s="201"/>
      <c r="AZ159" s="190"/>
      <c r="BA159" s="201"/>
      <c r="BB159" s="201"/>
      <c r="BC159" s="201"/>
      <c r="BD159" s="201"/>
      <c r="BE159" s="201"/>
      <c r="BF159" s="201"/>
      <c r="BG159" s="201"/>
      <c r="BH159" s="201"/>
      <c r="BI159" s="204"/>
      <c r="BJ159" s="204"/>
      <c r="BK159" s="204"/>
      <c r="BL159" s="206"/>
    </row>
    <row r="160" spans="34:64" ht="15.75"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6"/>
      <c r="AT160" s="196"/>
      <c r="AU160" s="190"/>
      <c r="AV160" s="190"/>
      <c r="AW160" s="201"/>
      <c r="AX160" s="201"/>
      <c r="AY160" s="201"/>
      <c r="AZ160" s="190"/>
      <c r="BA160" s="201"/>
      <c r="BB160" s="201"/>
      <c r="BC160" s="201"/>
      <c r="BD160" s="201"/>
      <c r="BE160" s="201"/>
      <c r="BF160" s="201"/>
      <c r="BG160" s="201"/>
      <c r="BH160" s="201"/>
      <c r="BI160" s="204"/>
      <c r="BJ160" s="204"/>
      <c r="BK160" s="204"/>
      <c r="BL160" s="206"/>
    </row>
    <row r="161" spans="34:64" ht="15.75"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6"/>
      <c r="AT161" s="196"/>
      <c r="AU161" s="190"/>
      <c r="AV161" s="190"/>
      <c r="AW161" s="201"/>
      <c r="AX161" s="201"/>
      <c r="AY161" s="201"/>
      <c r="AZ161" s="190"/>
      <c r="BA161" s="201"/>
      <c r="BB161" s="201"/>
      <c r="BC161" s="201"/>
      <c r="BD161" s="201"/>
      <c r="BE161" s="201"/>
      <c r="BF161" s="201"/>
      <c r="BG161" s="201"/>
      <c r="BH161" s="201"/>
      <c r="BI161" s="204"/>
      <c r="BJ161" s="204"/>
      <c r="BK161" s="204"/>
      <c r="BL161" s="206"/>
    </row>
    <row r="162" spans="34:64" ht="15.75"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6"/>
      <c r="AT162" s="196"/>
      <c r="AU162" s="190"/>
      <c r="AV162" s="190"/>
      <c r="AW162" s="201"/>
      <c r="AX162" s="201"/>
      <c r="AY162" s="201"/>
      <c r="AZ162" s="190"/>
      <c r="BA162" s="201"/>
      <c r="BB162" s="201"/>
      <c r="BC162" s="201"/>
      <c r="BD162" s="201"/>
      <c r="BE162" s="201"/>
      <c r="BF162" s="201"/>
      <c r="BG162" s="201"/>
      <c r="BH162" s="201"/>
      <c r="BI162" s="204"/>
      <c r="BJ162" s="204"/>
      <c r="BK162" s="204"/>
      <c r="BL162" s="206"/>
    </row>
    <row r="163" spans="34:64" ht="15.75"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6"/>
      <c r="AT163" s="196"/>
      <c r="AU163" s="190"/>
      <c r="AV163" s="190"/>
      <c r="AW163" s="201"/>
      <c r="AX163" s="201"/>
      <c r="AY163" s="201"/>
      <c r="AZ163" s="190"/>
      <c r="BA163" s="201"/>
      <c r="BB163" s="201"/>
      <c r="BC163" s="201"/>
      <c r="BD163" s="201"/>
      <c r="BE163" s="201"/>
      <c r="BF163" s="201"/>
      <c r="BG163" s="201"/>
      <c r="BH163" s="201"/>
      <c r="BI163" s="204"/>
      <c r="BJ163" s="204"/>
      <c r="BK163" s="204"/>
      <c r="BL163" s="206"/>
    </row>
    <row r="164" spans="34:64" ht="15.75"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6"/>
      <c r="AT164" s="196"/>
      <c r="AU164" s="190"/>
      <c r="AV164" s="190"/>
      <c r="AW164" s="201"/>
      <c r="AX164" s="201"/>
      <c r="AY164" s="201"/>
      <c r="AZ164" s="190"/>
      <c r="BA164" s="201"/>
      <c r="BB164" s="201"/>
      <c r="BC164" s="201"/>
      <c r="BD164" s="201"/>
      <c r="BE164" s="201"/>
      <c r="BF164" s="201"/>
      <c r="BG164" s="201"/>
      <c r="BH164" s="201"/>
      <c r="BI164" s="204"/>
      <c r="BJ164" s="204"/>
      <c r="BK164" s="204"/>
      <c r="BL164" s="206"/>
    </row>
    <row r="165" spans="34:64" ht="15.75"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6"/>
      <c r="AT165" s="196"/>
      <c r="AU165" s="190"/>
      <c r="AV165" s="190"/>
      <c r="AW165" s="201"/>
      <c r="AX165" s="201"/>
      <c r="AY165" s="201"/>
      <c r="AZ165" s="190"/>
      <c r="BA165" s="201"/>
      <c r="BB165" s="201"/>
      <c r="BC165" s="201"/>
      <c r="BD165" s="201"/>
      <c r="BE165" s="201"/>
      <c r="BF165" s="201"/>
      <c r="BG165" s="201"/>
      <c r="BH165" s="201"/>
      <c r="BI165" s="204"/>
      <c r="BJ165" s="204"/>
      <c r="BK165" s="204"/>
      <c r="BL165" s="206"/>
    </row>
    <row r="166" spans="34:64" ht="15.75"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6"/>
      <c r="AT166" s="196"/>
      <c r="AU166" s="190"/>
      <c r="AV166" s="190"/>
      <c r="AW166" s="201"/>
      <c r="AX166" s="201"/>
      <c r="AY166" s="201"/>
      <c r="AZ166" s="190"/>
      <c r="BA166" s="201"/>
      <c r="BB166" s="201"/>
      <c r="BC166" s="201"/>
      <c r="BD166" s="201"/>
      <c r="BE166" s="201"/>
      <c r="BF166" s="201"/>
      <c r="BG166" s="201"/>
      <c r="BH166" s="201"/>
      <c r="BI166" s="204"/>
      <c r="BJ166" s="204"/>
      <c r="BK166" s="204"/>
      <c r="BL166" s="206"/>
    </row>
    <row r="167" spans="34:64" ht="15.75"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6"/>
      <c r="AT167" s="196"/>
      <c r="AU167" s="190"/>
      <c r="AV167" s="190"/>
      <c r="AW167" s="201"/>
      <c r="AX167" s="201"/>
      <c r="AY167" s="201"/>
      <c r="AZ167" s="190"/>
      <c r="BA167" s="201"/>
      <c r="BB167" s="201"/>
      <c r="BC167" s="201"/>
      <c r="BD167" s="201"/>
      <c r="BE167" s="201"/>
      <c r="BF167" s="201"/>
      <c r="BG167" s="201"/>
      <c r="BH167" s="201"/>
      <c r="BI167" s="204"/>
      <c r="BJ167" s="204"/>
      <c r="BK167" s="204"/>
      <c r="BL167" s="206"/>
    </row>
    <row r="168" spans="34:64" ht="15.75"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6"/>
      <c r="AT168" s="196"/>
      <c r="AU168" s="190"/>
      <c r="AV168" s="190"/>
      <c r="AW168" s="201"/>
      <c r="AX168" s="201"/>
      <c r="AY168" s="201"/>
      <c r="AZ168" s="190"/>
      <c r="BA168" s="201"/>
      <c r="BB168" s="201"/>
      <c r="BC168" s="201"/>
      <c r="BD168" s="201"/>
      <c r="BE168" s="201"/>
      <c r="BF168" s="201"/>
      <c r="BG168" s="201"/>
      <c r="BH168" s="201"/>
      <c r="BI168" s="204"/>
      <c r="BJ168" s="204"/>
      <c r="BK168" s="204"/>
      <c r="BL168" s="206"/>
    </row>
    <row r="169" spans="34:64" ht="15.75"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6"/>
      <c r="AT169" s="196"/>
      <c r="AU169" s="190"/>
      <c r="AV169" s="190"/>
      <c r="AW169" s="201"/>
      <c r="AX169" s="201"/>
      <c r="AY169" s="201"/>
      <c r="AZ169" s="190"/>
      <c r="BA169" s="201"/>
      <c r="BB169" s="201"/>
      <c r="BC169" s="201"/>
      <c r="BD169" s="201"/>
      <c r="BE169" s="201"/>
      <c r="BF169" s="201"/>
      <c r="BG169" s="201"/>
      <c r="BH169" s="201"/>
      <c r="BI169" s="204"/>
      <c r="BJ169" s="204"/>
      <c r="BK169" s="204"/>
      <c r="BL169" s="206"/>
    </row>
    <row r="170" spans="34:64" ht="15.75"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6"/>
      <c r="AT170" s="196"/>
      <c r="AU170" s="190"/>
      <c r="AV170" s="190"/>
      <c r="AW170" s="201"/>
      <c r="AX170" s="201"/>
      <c r="AY170" s="201"/>
      <c r="AZ170" s="190"/>
      <c r="BA170" s="201"/>
      <c r="BB170" s="201"/>
      <c r="BC170" s="201"/>
      <c r="BD170" s="201"/>
      <c r="BE170" s="201"/>
      <c r="BF170" s="201"/>
      <c r="BG170" s="201"/>
      <c r="BH170" s="201"/>
      <c r="BI170" s="204"/>
      <c r="BJ170" s="204"/>
      <c r="BK170" s="204"/>
      <c r="BL170" s="206"/>
    </row>
    <row r="171" spans="34:64" ht="15.75"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6"/>
      <c r="AT171" s="196"/>
      <c r="AU171" s="190"/>
      <c r="AV171" s="190"/>
      <c r="AW171" s="201"/>
      <c r="AX171" s="201"/>
      <c r="AY171" s="201"/>
      <c r="AZ171" s="190"/>
      <c r="BA171" s="201"/>
      <c r="BB171" s="201"/>
      <c r="BC171" s="201"/>
      <c r="BD171" s="201"/>
      <c r="BE171" s="201"/>
      <c r="BF171" s="201"/>
      <c r="BG171" s="201"/>
      <c r="BH171" s="201"/>
      <c r="BI171" s="204"/>
      <c r="BJ171" s="204"/>
      <c r="BK171" s="204"/>
      <c r="BL171" s="206"/>
    </row>
    <row r="172" spans="34:64" ht="15.75"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6"/>
      <c r="AT172" s="196"/>
      <c r="AU172" s="190"/>
      <c r="AV172" s="190"/>
      <c r="AW172" s="201"/>
      <c r="AX172" s="201"/>
      <c r="AY172" s="201"/>
      <c r="AZ172" s="190"/>
      <c r="BA172" s="201"/>
      <c r="BB172" s="201"/>
      <c r="BC172" s="201"/>
      <c r="BD172" s="201"/>
      <c r="BE172" s="201"/>
      <c r="BF172" s="201"/>
      <c r="BG172" s="201"/>
      <c r="BH172" s="201"/>
      <c r="BI172" s="204"/>
      <c r="BJ172" s="204"/>
      <c r="BK172" s="204"/>
      <c r="BL172" s="206"/>
    </row>
    <row r="173" spans="34:64" ht="15.75"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6"/>
      <c r="AT173" s="196"/>
      <c r="AU173" s="190"/>
      <c r="AV173" s="190"/>
      <c r="AW173" s="201"/>
      <c r="AX173" s="201"/>
      <c r="AY173" s="201"/>
      <c r="AZ173" s="190"/>
      <c r="BA173" s="201"/>
      <c r="BB173" s="201"/>
      <c r="BC173" s="201"/>
      <c r="BD173" s="201"/>
      <c r="BE173" s="201"/>
      <c r="BF173" s="201"/>
      <c r="BG173" s="201"/>
      <c r="BH173" s="201"/>
      <c r="BI173" s="204"/>
      <c r="BJ173" s="204"/>
      <c r="BK173" s="204"/>
      <c r="BL173" s="206"/>
    </row>
    <row r="174" spans="34:64" ht="15.75"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6"/>
      <c r="AT174" s="196"/>
      <c r="AU174" s="190"/>
      <c r="AV174" s="190"/>
      <c r="AW174" s="201"/>
      <c r="AX174" s="201"/>
      <c r="AY174" s="201"/>
      <c r="AZ174" s="190"/>
      <c r="BA174" s="201"/>
      <c r="BB174" s="201"/>
      <c r="BC174" s="201"/>
      <c r="BD174" s="201"/>
      <c r="BE174" s="201"/>
      <c r="BF174" s="201"/>
      <c r="BG174" s="201"/>
      <c r="BH174" s="201"/>
      <c r="BI174" s="204"/>
      <c r="BJ174" s="204"/>
      <c r="BK174" s="204"/>
      <c r="BL174" s="206"/>
    </row>
    <row r="175" spans="34:64" ht="15.75"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6"/>
      <c r="AT175" s="196"/>
      <c r="AU175" s="190"/>
      <c r="AV175" s="190"/>
      <c r="AW175" s="201"/>
      <c r="AX175" s="201"/>
      <c r="AY175" s="201"/>
      <c r="AZ175" s="190"/>
      <c r="BA175" s="201"/>
      <c r="BB175" s="201"/>
      <c r="BC175" s="201"/>
      <c r="BD175" s="201"/>
      <c r="BE175" s="201"/>
      <c r="BF175" s="201"/>
      <c r="BG175" s="201"/>
      <c r="BH175" s="201"/>
      <c r="BI175" s="204"/>
      <c r="BJ175" s="204"/>
      <c r="BK175" s="204"/>
      <c r="BL175" s="206"/>
    </row>
    <row r="176" spans="34:64" ht="15.75"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6"/>
      <c r="AT176" s="196"/>
      <c r="AU176" s="190"/>
      <c r="AV176" s="190"/>
      <c r="AW176" s="201"/>
      <c r="AX176" s="201"/>
      <c r="AY176" s="201"/>
      <c r="AZ176" s="190"/>
      <c r="BA176" s="201"/>
      <c r="BB176" s="201"/>
      <c r="BC176" s="201"/>
      <c r="BD176" s="201"/>
      <c r="BE176" s="201"/>
      <c r="BF176" s="201"/>
      <c r="BG176" s="201"/>
      <c r="BH176" s="201"/>
      <c r="BI176" s="204"/>
      <c r="BJ176" s="204"/>
      <c r="BK176" s="204"/>
      <c r="BL176" s="206"/>
    </row>
    <row r="177" spans="34:64" ht="15.75"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6"/>
      <c r="AT177" s="196"/>
      <c r="AU177" s="190"/>
      <c r="AV177" s="190"/>
      <c r="AW177" s="201"/>
      <c r="AX177" s="201"/>
      <c r="AY177" s="201"/>
      <c r="AZ177" s="190"/>
      <c r="BA177" s="201"/>
      <c r="BB177" s="201"/>
      <c r="BC177" s="201"/>
      <c r="BD177" s="201"/>
      <c r="BE177" s="201"/>
      <c r="BF177" s="201"/>
      <c r="BG177" s="201"/>
      <c r="BH177" s="201"/>
      <c r="BI177" s="204"/>
      <c r="BJ177" s="204"/>
      <c r="BK177" s="204"/>
      <c r="BL177" s="206"/>
    </row>
    <row r="178" spans="34:64" ht="15.75"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6"/>
      <c r="AT178" s="196"/>
      <c r="AU178" s="190"/>
      <c r="AV178" s="190"/>
      <c r="AW178" s="201"/>
      <c r="AX178" s="201"/>
      <c r="AY178" s="201"/>
      <c r="AZ178" s="190"/>
      <c r="BA178" s="201"/>
      <c r="BB178" s="201"/>
      <c r="BC178" s="201"/>
      <c r="BD178" s="201"/>
      <c r="BE178" s="201"/>
      <c r="BF178" s="201"/>
      <c r="BG178" s="201"/>
      <c r="BH178" s="201"/>
      <c r="BI178" s="204"/>
      <c r="BJ178" s="204"/>
      <c r="BK178" s="204"/>
      <c r="BL178" s="206"/>
    </row>
    <row r="179" spans="34:64" ht="15.75"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6"/>
      <c r="AT179" s="196"/>
      <c r="AU179" s="190"/>
      <c r="AV179" s="190"/>
      <c r="AW179" s="201"/>
      <c r="AX179" s="201"/>
      <c r="AY179" s="201"/>
      <c r="AZ179" s="190"/>
      <c r="BA179" s="201"/>
      <c r="BB179" s="201"/>
      <c r="BC179" s="201"/>
      <c r="BD179" s="201"/>
      <c r="BE179" s="201"/>
      <c r="BF179" s="201"/>
      <c r="BG179" s="201"/>
      <c r="BH179" s="201"/>
      <c r="BI179" s="204"/>
      <c r="BJ179" s="204"/>
      <c r="BK179" s="204"/>
      <c r="BL179" s="206"/>
    </row>
    <row r="180" spans="34:64" ht="15.75"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6"/>
      <c r="AT180" s="196"/>
      <c r="AU180" s="190"/>
      <c r="AV180" s="190"/>
      <c r="AW180" s="201"/>
      <c r="AX180" s="201"/>
      <c r="AY180" s="201"/>
      <c r="AZ180" s="190"/>
      <c r="BA180" s="201"/>
      <c r="BB180" s="201"/>
      <c r="BC180" s="201"/>
      <c r="BD180" s="201"/>
      <c r="BE180" s="201"/>
      <c r="BF180" s="201"/>
      <c r="BG180" s="201"/>
      <c r="BH180" s="201"/>
      <c r="BI180" s="204"/>
      <c r="BJ180" s="204"/>
      <c r="BK180" s="204"/>
      <c r="BL180" s="206"/>
    </row>
    <row r="181" spans="34:64" ht="15.75"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6"/>
      <c r="AT181" s="196"/>
      <c r="AU181" s="190"/>
      <c r="AV181" s="190"/>
      <c r="AW181" s="201"/>
      <c r="AX181" s="201"/>
      <c r="AY181" s="201"/>
      <c r="AZ181" s="190"/>
      <c r="BA181" s="201"/>
      <c r="BB181" s="201"/>
      <c r="BC181" s="201"/>
      <c r="BD181" s="201"/>
      <c r="BE181" s="201"/>
      <c r="BF181" s="201"/>
      <c r="BG181" s="201"/>
      <c r="BH181" s="201"/>
      <c r="BI181" s="204"/>
      <c r="BJ181" s="204"/>
      <c r="BK181" s="204"/>
      <c r="BL181" s="206"/>
    </row>
    <row r="182" spans="34:64" ht="15.75"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6"/>
      <c r="AT182" s="196"/>
      <c r="AU182" s="190"/>
      <c r="AV182" s="190"/>
      <c r="AW182" s="201"/>
      <c r="AX182" s="201"/>
      <c r="AY182" s="201"/>
      <c r="AZ182" s="190"/>
      <c r="BA182" s="201"/>
      <c r="BB182" s="201"/>
      <c r="BC182" s="201"/>
      <c r="BD182" s="201"/>
      <c r="BE182" s="201"/>
      <c r="BF182" s="201"/>
      <c r="BG182" s="201"/>
      <c r="BH182" s="201"/>
      <c r="BI182" s="204"/>
      <c r="BJ182" s="204"/>
      <c r="BK182" s="204"/>
      <c r="BL182" s="206"/>
    </row>
    <row r="183" spans="34:64" ht="15.75"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6"/>
      <c r="AT183" s="196"/>
      <c r="AU183" s="190"/>
      <c r="AV183" s="190"/>
      <c r="AW183" s="201"/>
      <c r="AX183" s="201"/>
      <c r="AY183" s="201"/>
      <c r="AZ183" s="190"/>
      <c r="BA183" s="201"/>
      <c r="BB183" s="201"/>
      <c r="BC183" s="201"/>
      <c r="BD183" s="201"/>
      <c r="BE183" s="201"/>
      <c r="BF183" s="201"/>
      <c r="BG183" s="201"/>
      <c r="BH183" s="201"/>
      <c r="BI183" s="204"/>
      <c r="BJ183" s="204"/>
      <c r="BK183" s="204"/>
      <c r="BL183" s="206"/>
    </row>
    <row r="184" spans="34:64" ht="15.75"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6"/>
      <c r="AT184" s="196"/>
      <c r="AU184" s="190"/>
      <c r="AV184" s="190"/>
      <c r="AW184" s="201"/>
      <c r="AX184" s="201"/>
      <c r="AY184" s="201"/>
      <c r="AZ184" s="190"/>
      <c r="BA184" s="201"/>
      <c r="BB184" s="201"/>
      <c r="BC184" s="201"/>
      <c r="BD184" s="201"/>
      <c r="BE184" s="201"/>
      <c r="BF184" s="201"/>
      <c r="BG184" s="201"/>
      <c r="BH184" s="201"/>
      <c r="BI184" s="204"/>
      <c r="BJ184" s="204"/>
      <c r="BK184" s="204"/>
      <c r="BL184" s="206"/>
    </row>
    <row r="185" spans="34:64" ht="15.75"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6"/>
      <c r="AT185" s="196"/>
      <c r="AU185" s="190"/>
      <c r="AV185" s="190"/>
      <c r="AW185" s="201"/>
      <c r="AX185" s="201"/>
      <c r="AY185" s="201"/>
      <c r="AZ185" s="190"/>
      <c r="BA185" s="201"/>
      <c r="BB185" s="201"/>
      <c r="BC185" s="201"/>
      <c r="BD185" s="201"/>
      <c r="BE185" s="201"/>
      <c r="BF185" s="201"/>
      <c r="BG185" s="201"/>
      <c r="BH185" s="201"/>
      <c r="BI185" s="204"/>
      <c r="BJ185" s="204"/>
      <c r="BK185" s="204"/>
      <c r="BL185" s="206"/>
    </row>
    <row r="186" spans="34:64" ht="15.75"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6"/>
      <c r="AT186" s="196"/>
      <c r="AU186" s="190"/>
      <c r="AV186" s="190"/>
      <c r="AW186" s="201"/>
      <c r="AX186" s="201"/>
      <c r="AY186" s="201"/>
      <c r="AZ186" s="190"/>
      <c r="BA186" s="201"/>
      <c r="BB186" s="201"/>
      <c r="BC186" s="201"/>
      <c r="BD186" s="201"/>
      <c r="BE186" s="201"/>
      <c r="BF186" s="201"/>
      <c r="BG186" s="201"/>
      <c r="BH186" s="201"/>
      <c r="BI186" s="204"/>
      <c r="BJ186" s="204"/>
      <c r="BK186" s="204"/>
      <c r="BL186" s="206"/>
    </row>
    <row r="187" spans="34:64" ht="15.75"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6"/>
      <c r="AT187" s="196"/>
      <c r="AU187" s="190"/>
      <c r="AV187" s="190"/>
      <c r="AW187" s="201"/>
      <c r="AX187" s="201"/>
      <c r="AY187" s="201"/>
      <c r="AZ187" s="190"/>
      <c r="BA187" s="201"/>
      <c r="BB187" s="201"/>
      <c r="BC187" s="201"/>
      <c r="BD187" s="201"/>
      <c r="BE187" s="201"/>
      <c r="BF187" s="201"/>
      <c r="BG187" s="201"/>
      <c r="BH187" s="201"/>
      <c r="BI187" s="204"/>
      <c r="BJ187" s="204"/>
      <c r="BK187" s="204"/>
      <c r="BL187" s="206"/>
    </row>
    <row r="188" spans="34:64" ht="15.75"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6"/>
      <c r="AT188" s="196"/>
      <c r="AU188" s="190"/>
      <c r="AV188" s="190"/>
      <c r="AW188" s="201"/>
      <c r="AX188" s="201"/>
      <c r="AY188" s="201"/>
      <c r="AZ188" s="190"/>
      <c r="BA188" s="201"/>
      <c r="BB188" s="201"/>
      <c r="BC188" s="201"/>
      <c r="BD188" s="201"/>
      <c r="BE188" s="201"/>
      <c r="BF188" s="201"/>
      <c r="BG188" s="201"/>
      <c r="BH188" s="201"/>
      <c r="BI188" s="204"/>
      <c r="BJ188" s="204"/>
      <c r="BK188" s="204"/>
      <c r="BL188" s="206"/>
    </row>
    <row r="189" spans="34:64" ht="15.75"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6"/>
      <c r="AT189" s="196"/>
      <c r="AU189" s="190"/>
      <c r="AV189" s="190"/>
      <c r="AW189" s="201"/>
      <c r="AX189" s="201"/>
      <c r="AY189" s="201"/>
      <c r="AZ189" s="190"/>
      <c r="BA189" s="201"/>
      <c r="BB189" s="201"/>
      <c r="BC189" s="201"/>
      <c r="BD189" s="201"/>
      <c r="BE189" s="201"/>
      <c r="BF189" s="201"/>
      <c r="BG189" s="201"/>
      <c r="BH189" s="201"/>
      <c r="BI189" s="204"/>
      <c r="BJ189" s="204"/>
      <c r="BK189" s="204"/>
      <c r="BL189" s="206"/>
    </row>
    <row r="190" spans="34:64" ht="15.75"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6"/>
      <c r="AT190" s="196"/>
      <c r="AU190" s="190"/>
      <c r="AV190" s="190"/>
      <c r="AW190" s="201"/>
      <c r="AX190" s="201"/>
      <c r="AY190" s="201"/>
      <c r="AZ190" s="190"/>
      <c r="BA190" s="201"/>
      <c r="BB190" s="201"/>
      <c r="BC190" s="201"/>
      <c r="BD190" s="201"/>
      <c r="BE190" s="201"/>
      <c r="BF190" s="201"/>
      <c r="BG190" s="201"/>
      <c r="BH190" s="201"/>
      <c r="BI190" s="204"/>
      <c r="BJ190" s="204"/>
      <c r="BK190" s="204"/>
      <c r="BL190" s="206"/>
    </row>
    <row r="191" spans="34:64" ht="15.75"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6"/>
      <c r="AT191" s="196"/>
      <c r="AU191" s="190"/>
      <c r="AV191" s="190"/>
      <c r="AW191" s="201"/>
      <c r="AX191" s="201"/>
      <c r="AY191" s="201"/>
      <c r="AZ191" s="190"/>
      <c r="BA191" s="201"/>
      <c r="BB191" s="201"/>
      <c r="BC191" s="201"/>
      <c r="BD191" s="201"/>
      <c r="BE191" s="201"/>
      <c r="BF191" s="201"/>
      <c r="BG191" s="201"/>
      <c r="BH191" s="201"/>
      <c r="BI191" s="204"/>
      <c r="BJ191" s="204"/>
      <c r="BK191" s="204"/>
      <c r="BL191" s="206"/>
    </row>
    <row r="192" spans="34:64" ht="15.75"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6"/>
      <c r="AT192" s="196"/>
      <c r="AU192" s="190"/>
      <c r="AV192" s="190"/>
      <c r="AW192" s="201"/>
      <c r="AX192" s="201"/>
      <c r="AY192" s="201"/>
      <c r="AZ192" s="190"/>
      <c r="BA192" s="201"/>
      <c r="BB192" s="201"/>
      <c r="BC192" s="201"/>
      <c r="BD192" s="201"/>
      <c r="BE192" s="201"/>
      <c r="BF192" s="201"/>
      <c r="BG192" s="201"/>
      <c r="BH192" s="201"/>
      <c r="BI192" s="204"/>
      <c r="BJ192" s="204"/>
      <c r="BK192" s="204"/>
      <c r="BL192" s="206"/>
    </row>
    <row r="193" spans="34:64" ht="15.75"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6"/>
      <c r="AT193" s="196"/>
      <c r="AU193" s="190"/>
      <c r="AV193" s="190"/>
      <c r="AW193" s="201"/>
      <c r="AX193" s="201"/>
      <c r="AY193" s="201"/>
      <c r="AZ193" s="190"/>
      <c r="BA193" s="201"/>
      <c r="BB193" s="201"/>
      <c r="BC193" s="201"/>
      <c r="BD193" s="201"/>
      <c r="BE193" s="201"/>
      <c r="BF193" s="201"/>
      <c r="BG193" s="201"/>
      <c r="BH193" s="201"/>
      <c r="BI193" s="204"/>
      <c r="BJ193" s="204"/>
      <c r="BK193" s="204"/>
      <c r="BL193" s="206"/>
    </row>
    <row r="194" spans="34:64" ht="15.75"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6"/>
      <c r="AT194" s="196"/>
      <c r="AU194" s="190"/>
      <c r="AV194" s="190"/>
      <c r="AW194" s="201"/>
      <c r="AX194" s="201"/>
      <c r="AY194" s="201"/>
      <c r="AZ194" s="190"/>
      <c r="BA194" s="201"/>
      <c r="BB194" s="201"/>
      <c r="BC194" s="201"/>
      <c r="BD194" s="201"/>
      <c r="BE194" s="201"/>
      <c r="BF194" s="201"/>
      <c r="BG194" s="201"/>
      <c r="BH194" s="201"/>
      <c r="BI194" s="204"/>
      <c r="BJ194" s="204"/>
      <c r="BK194" s="204"/>
      <c r="BL194" s="206"/>
    </row>
    <row r="195" spans="34:64" ht="15.75"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6"/>
      <c r="AT195" s="196"/>
      <c r="AU195" s="190"/>
      <c r="AV195" s="190"/>
      <c r="AW195" s="201"/>
      <c r="AX195" s="201"/>
      <c r="AY195" s="201"/>
      <c r="AZ195" s="190"/>
      <c r="BA195" s="201"/>
      <c r="BB195" s="201"/>
      <c r="BC195" s="201"/>
      <c r="BD195" s="201"/>
      <c r="BE195" s="201"/>
      <c r="BF195" s="201"/>
      <c r="BG195" s="201"/>
      <c r="BH195" s="201"/>
      <c r="BI195" s="204"/>
      <c r="BJ195" s="204"/>
      <c r="BK195" s="204"/>
      <c r="BL195" s="206"/>
    </row>
    <row r="196" spans="34:64" ht="15.75"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6"/>
      <c r="AT196" s="196"/>
      <c r="AU196" s="190"/>
      <c r="AV196" s="190"/>
      <c r="AW196" s="201"/>
      <c r="AX196" s="201"/>
      <c r="AY196" s="201"/>
      <c r="AZ196" s="190"/>
      <c r="BA196" s="201"/>
      <c r="BB196" s="201"/>
      <c r="BC196" s="201"/>
      <c r="BD196" s="201"/>
      <c r="BE196" s="201"/>
      <c r="BF196" s="201"/>
      <c r="BG196" s="201"/>
      <c r="BH196" s="201"/>
      <c r="BI196" s="204"/>
      <c r="BJ196" s="204"/>
      <c r="BK196" s="204"/>
      <c r="BL196" s="206"/>
    </row>
    <row r="197" spans="34:64" ht="15.75"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6"/>
      <c r="AT197" s="196"/>
      <c r="AU197" s="190"/>
      <c r="AV197" s="190"/>
      <c r="AW197" s="201"/>
      <c r="AX197" s="201"/>
      <c r="AY197" s="201"/>
      <c r="AZ197" s="190"/>
      <c r="BA197" s="201"/>
      <c r="BB197" s="201"/>
      <c r="BC197" s="201"/>
      <c r="BD197" s="201"/>
      <c r="BE197" s="201"/>
      <c r="BF197" s="201"/>
      <c r="BG197" s="201"/>
      <c r="BH197" s="201"/>
      <c r="BI197" s="204"/>
      <c r="BJ197" s="204"/>
      <c r="BK197" s="204"/>
      <c r="BL197" s="206"/>
    </row>
    <row r="198" spans="34:64" ht="15.75"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6"/>
      <c r="AT198" s="196"/>
      <c r="AU198" s="190"/>
      <c r="AV198" s="190"/>
      <c r="AW198" s="201"/>
      <c r="AX198" s="201"/>
      <c r="AY198" s="201"/>
      <c r="AZ198" s="190"/>
      <c r="BA198" s="201"/>
      <c r="BB198" s="201"/>
      <c r="BC198" s="201"/>
      <c r="BD198" s="201"/>
      <c r="BE198" s="201"/>
      <c r="BF198" s="201"/>
      <c r="BG198" s="201"/>
      <c r="BH198" s="201"/>
      <c r="BI198" s="204"/>
      <c r="BJ198" s="204"/>
      <c r="BK198" s="204"/>
      <c r="BL198" s="206"/>
    </row>
    <row r="199" spans="34:64" ht="15.75"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6"/>
      <c r="AT199" s="196"/>
      <c r="AU199" s="190"/>
      <c r="AV199" s="190"/>
      <c r="AW199" s="201"/>
      <c r="AX199" s="201"/>
      <c r="AY199" s="201"/>
      <c r="AZ199" s="190"/>
      <c r="BA199" s="201"/>
      <c r="BB199" s="201"/>
      <c r="BC199" s="201"/>
      <c r="BD199" s="201"/>
      <c r="BE199" s="201"/>
      <c r="BF199" s="201"/>
      <c r="BG199" s="201"/>
      <c r="BH199" s="201"/>
      <c r="BI199" s="204"/>
      <c r="BJ199" s="204"/>
      <c r="BK199" s="204"/>
      <c r="BL199" s="206"/>
    </row>
    <row r="200" spans="34:64" ht="15.75"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6"/>
      <c r="AT200" s="196"/>
      <c r="AU200" s="190"/>
      <c r="AV200" s="190"/>
      <c r="AW200" s="201"/>
      <c r="AX200" s="201"/>
      <c r="AY200" s="201"/>
      <c r="AZ200" s="190"/>
      <c r="BA200" s="201"/>
      <c r="BB200" s="201"/>
      <c r="BC200" s="201"/>
      <c r="BD200" s="201"/>
      <c r="BE200" s="201"/>
      <c r="BF200" s="201"/>
      <c r="BG200" s="201"/>
      <c r="BH200" s="201"/>
      <c r="BI200" s="204"/>
      <c r="BJ200" s="204"/>
      <c r="BK200" s="204"/>
      <c r="BL200" s="206"/>
    </row>
    <row r="201" spans="34:64" ht="15.75"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6"/>
      <c r="AT201" s="196"/>
      <c r="AU201" s="190"/>
      <c r="AV201" s="190"/>
      <c r="AW201" s="201"/>
      <c r="AX201" s="201"/>
      <c r="AY201" s="201"/>
      <c r="AZ201" s="190"/>
      <c r="BA201" s="201"/>
      <c r="BB201" s="201"/>
      <c r="BC201" s="201"/>
      <c r="BD201" s="201"/>
      <c r="BE201" s="201"/>
      <c r="BF201" s="201"/>
      <c r="BG201" s="201"/>
      <c r="BH201" s="201"/>
      <c r="BI201" s="204"/>
      <c r="BJ201" s="204"/>
      <c r="BK201" s="204"/>
      <c r="BL201" s="206"/>
    </row>
    <row r="202" spans="34:64" ht="15.75"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6"/>
      <c r="AT202" s="196"/>
      <c r="AU202" s="190"/>
      <c r="AV202" s="190"/>
      <c r="AW202" s="201"/>
      <c r="AX202" s="201"/>
      <c r="AY202" s="201"/>
      <c r="AZ202" s="190"/>
      <c r="BA202" s="201"/>
      <c r="BB202" s="201"/>
      <c r="BC202" s="201"/>
      <c r="BD202" s="201"/>
      <c r="BE202" s="201"/>
      <c r="BF202" s="201"/>
      <c r="BG202" s="201"/>
      <c r="BH202" s="201"/>
      <c r="BI202" s="204"/>
      <c r="BJ202" s="204"/>
      <c r="BK202" s="204"/>
      <c r="BL202" s="206"/>
    </row>
    <row r="203" spans="34:64" ht="15.75"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6"/>
      <c r="AT203" s="196"/>
      <c r="AU203" s="190"/>
      <c r="AV203" s="190"/>
      <c r="AW203" s="201"/>
      <c r="AX203" s="201"/>
      <c r="AY203" s="201"/>
      <c r="AZ203" s="190"/>
      <c r="BA203" s="201"/>
      <c r="BB203" s="201"/>
      <c r="BC203" s="201"/>
      <c r="BD203" s="201"/>
      <c r="BE203" s="201"/>
      <c r="BF203" s="201"/>
      <c r="BG203" s="201"/>
      <c r="BH203" s="201"/>
      <c r="BI203" s="204"/>
      <c r="BJ203" s="204"/>
      <c r="BK203" s="204"/>
      <c r="BL203" s="206"/>
    </row>
    <row r="204" spans="34:64" ht="15.75"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6"/>
      <c r="AT204" s="196"/>
      <c r="AU204" s="190"/>
      <c r="AV204" s="190"/>
      <c r="AW204" s="201"/>
      <c r="AX204" s="201"/>
      <c r="AY204" s="201"/>
      <c r="AZ204" s="190"/>
      <c r="BA204" s="201"/>
      <c r="BB204" s="201"/>
      <c r="BC204" s="201"/>
      <c r="BD204" s="201"/>
      <c r="BE204" s="201"/>
      <c r="BF204" s="201"/>
      <c r="BG204" s="201"/>
      <c r="BH204" s="201"/>
      <c r="BI204" s="204"/>
      <c r="BJ204" s="204"/>
      <c r="BK204" s="204"/>
      <c r="BL204" s="206"/>
    </row>
    <row r="205" spans="34:64" ht="15.75"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6"/>
      <c r="AT205" s="196"/>
      <c r="AU205" s="190"/>
      <c r="AV205" s="190"/>
      <c r="AW205" s="201"/>
      <c r="AX205" s="201"/>
      <c r="AY205" s="201"/>
      <c r="AZ205" s="190"/>
      <c r="BA205" s="201"/>
      <c r="BB205" s="201"/>
      <c r="BC205" s="201"/>
      <c r="BD205" s="201"/>
      <c r="BE205" s="201"/>
      <c r="BF205" s="201"/>
      <c r="BG205" s="201"/>
      <c r="BH205" s="201"/>
      <c r="BI205" s="204"/>
      <c r="BJ205" s="204"/>
      <c r="BK205" s="204"/>
      <c r="BL205" s="206"/>
    </row>
    <row r="206" spans="34:64" ht="15.75"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6"/>
      <c r="AT206" s="196"/>
      <c r="AU206" s="190"/>
      <c r="AV206" s="190"/>
      <c r="AW206" s="201"/>
      <c r="AX206" s="201"/>
      <c r="AY206" s="201"/>
      <c r="AZ206" s="190"/>
      <c r="BA206" s="201"/>
      <c r="BB206" s="201"/>
      <c r="BC206" s="201"/>
      <c r="BD206" s="201"/>
      <c r="BE206" s="201"/>
      <c r="BF206" s="201"/>
      <c r="BG206" s="201"/>
      <c r="BH206" s="201"/>
      <c r="BI206" s="204"/>
      <c r="BJ206" s="204"/>
      <c r="BK206" s="204"/>
      <c r="BL206" s="206"/>
    </row>
    <row r="207" spans="34:64" ht="15.75"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6"/>
      <c r="AT207" s="196"/>
      <c r="AU207" s="190"/>
      <c r="AV207" s="190"/>
      <c r="AW207" s="201"/>
      <c r="AX207" s="201"/>
      <c r="AY207" s="201"/>
      <c r="AZ207" s="190"/>
      <c r="BA207" s="201"/>
      <c r="BB207" s="201"/>
      <c r="BC207" s="201"/>
      <c r="BD207" s="201"/>
      <c r="BE207" s="201"/>
      <c r="BF207" s="201"/>
      <c r="BG207" s="201"/>
      <c r="BH207" s="201"/>
      <c r="BI207" s="204"/>
      <c r="BJ207" s="204"/>
      <c r="BK207" s="204"/>
      <c r="BL207" s="206"/>
    </row>
    <row r="208" spans="34:64" ht="15.75"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6"/>
      <c r="AT208" s="196"/>
      <c r="AU208" s="190"/>
      <c r="AV208" s="190"/>
      <c r="AW208" s="201"/>
      <c r="AX208" s="201"/>
      <c r="AY208" s="201"/>
      <c r="AZ208" s="190"/>
      <c r="BA208" s="201"/>
      <c r="BB208" s="201"/>
      <c r="BC208" s="201"/>
      <c r="BD208" s="201"/>
      <c r="BE208" s="201"/>
      <c r="BF208" s="201"/>
      <c r="BG208" s="201"/>
      <c r="BH208" s="201"/>
      <c r="BI208" s="204"/>
      <c r="BJ208" s="204"/>
      <c r="BK208" s="204"/>
      <c r="BL208" s="206"/>
    </row>
    <row r="209" spans="34:64" ht="15.75"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6"/>
      <c r="AT209" s="196"/>
      <c r="AU209" s="190"/>
      <c r="AV209" s="190"/>
      <c r="AW209" s="201"/>
      <c r="AX209" s="201"/>
      <c r="AY209" s="201"/>
      <c r="AZ209" s="190"/>
      <c r="BA209" s="201"/>
      <c r="BB209" s="201"/>
      <c r="BC209" s="201"/>
      <c r="BD209" s="201"/>
      <c r="BE209" s="201"/>
      <c r="BF209" s="201"/>
      <c r="BG209" s="201"/>
      <c r="BH209" s="201"/>
      <c r="BI209" s="204"/>
      <c r="BJ209" s="204"/>
      <c r="BK209" s="204"/>
      <c r="BL209" s="206"/>
    </row>
    <row r="210" spans="34:64" ht="15.75"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6"/>
      <c r="AT210" s="196"/>
      <c r="AU210" s="190"/>
      <c r="AV210" s="190"/>
      <c r="AW210" s="201"/>
      <c r="AX210" s="201"/>
      <c r="AY210" s="201"/>
      <c r="AZ210" s="190"/>
      <c r="BA210" s="201"/>
      <c r="BB210" s="201"/>
      <c r="BC210" s="201"/>
      <c r="BD210" s="201"/>
      <c r="BE210" s="201"/>
      <c r="BF210" s="201"/>
      <c r="BG210" s="201"/>
      <c r="BH210" s="201"/>
      <c r="BI210" s="204"/>
      <c r="BJ210" s="204"/>
      <c r="BK210" s="204"/>
      <c r="BL210" s="206"/>
    </row>
    <row r="211" spans="34:64" ht="15.75"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6"/>
      <c r="AT211" s="196"/>
      <c r="AU211" s="190"/>
      <c r="AV211" s="190"/>
      <c r="AW211" s="201"/>
      <c r="AX211" s="201"/>
      <c r="AY211" s="201"/>
      <c r="AZ211" s="190"/>
      <c r="BA211" s="201"/>
      <c r="BB211" s="201"/>
      <c r="BC211" s="201"/>
      <c r="BD211" s="201"/>
      <c r="BE211" s="201"/>
      <c r="BF211" s="201"/>
      <c r="BG211" s="201"/>
      <c r="BH211" s="201"/>
      <c r="BI211" s="204"/>
      <c r="BJ211" s="204"/>
      <c r="BK211" s="204"/>
      <c r="BL211" s="206"/>
    </row>
    <row r="212" spans="34:64" ht="15.75"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6"/>
      <c r="AT212" s="196"/>
      <c r="AU212" s="190"/>
      <c r="AV212" s="190"/>
      <c r="AW212" s="201"/>
      <c r="AX212" s="201"/>
      <c r="AY212" s="201"/>
      <c r="AZ212" s="190"/>
      <c r="BA212" s="201"/>
      <c r="BB212" s="201"/>
      <c r="BC212" s="201"/>
      <c r="BD212" s="201"/>
      <c r="BE212" s="201"/>
      <c r="BF212" s="201"/>
      <c r="BG212" s="201"/>
      <c r="BH212" s="201"/>
      <c r="BI212" s="204"/>
      <c r="BJ212" s="204"/>
      <c r="BK212" s="204"/>
      <c r="BL212" s="206"/>
    </row>
    <row r="213" spans="34:64" ht="15.75"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6"/>
      <c r="AT213" s="196"/>
      <c r="AU213" s="190"/>
      <c r="AV213" s="190"/>
      <c r="AW213" s="201"/>
      <c r="AX213" s="201"/>
      <c r="AY213" s="201"/>
      <c r="AZ213" s="190"/>
      <c r="BA213" s="201"/>
      <c r="BB213" s="201"/>
      <c r="BC213" s="201"/>
      <c r="BD213" s="201"/>
      <c r="BE213" s="201"/>
      <c r="BF213" s="201"/>
      <c r="BG213" s="201"/>
      <c r="BH213" s="201"/>
      <c r="BI213" s="204"/>
      <c r="BJ213" s="204"/>
      <c r="BK213" s="204"/>
      <c r="BL213" s="206"/>
    </row>
    <row r="214" spans="34:64" ht="15.75"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6"/>
      <c r="AT214" s="196"/>
      <c r="AU214" s="190"/>
      <c r="AV214" s="190"/>
      <c r="AW214" s="201"/>
      <c r="AX214" s="201"/>
      <c r="AY214" s="201"/>
      <c r="AZ214" s="190"/>
      <c r="BA214" s="201"/>
      <c r="BB214" s="201"/>
      <c r="BC214" s="201"/>
      <c r="BD214" s="201"/>
      <c r="BE214" s="201"/>
      <c r="BF214" s="201"/>
      <c r="BG214" s="201"/>
      <c r="BH214" s="201"/>
      <c r="BI214" s="204"/>
      <c r="BJ214" s="204"/>
      <c r="BK214" s="204"/>
      <c r="BL214" s="206"/>
    </row>
    <row r="215" spans="34:64" ht="15.75"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6"/>
      <c r="AT215" s="196"/>
      <c r="AU215" s="190"/>
      <c r="AV215" s="190"/>
      <c r="AW215" s="201"/>
      <c r="AX215" s="201"/>
      <c r="AY215" s="201"/>
      <c r="AZ215" s="190"/>
      <c r="BA215" s="201"/>
      <c r="BB215" s="201"/>
      <c r="BC215" s="201"/>
      <c r="BD215" s="201"/>
      <c r="BE215" s="201"/>
      <c r="BF215" s="201"/>
      <c r="BG215" s="201"/>
      <c r="BH215" s="201"/>
      <c r="BI215" s="204"/>
      <c r="BJ215" s="204"/>
      <c r="BK215" s="204"/>
      <c r="BL215" s="206"/>
    </row>
    <row r="216" spans="34:64" ht="15.75"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6"/>
      <c r="AT216" s="196"/>
      <c r="AU216" s="190"/>
      <c r="AV216" s="190"/>
      <c r="AW216" s="201"/>
      <c r="AX216" s="201"/>
      <c r="AY216" s="201"/>
      <c r="AZ216" s="190"/>
      <c r="BA216" s="201"/>
      <c r="BB216" s="201"/>
      <c r="BC216" s="201"/>
      <c r="BD216" s="201"/>
      <c r="BE216" s="201"/>
      <c r="BF216" s="201"/>
      <c r="BG216" s="201"/>
      <c r="BH216" s="201"/>
      <c r="BI216" s="204"/>
      <c r="BJ216" s="204"/>
      <c r="BK216" s="204"/>
      <c r="BL216" s="206"/>
    </row>
    <row r="217" spans="34:64" ht="15.75"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6"/>
      <c r="AT217" s="196"/>
      <c r="AU217" s="190"/>
      <c r="AV217" s="190"/>
      <c r="AW217" s="201"/>
      <c r="AX217" s="201"/>
      <c r="AY217" s="201"/>
      <c r="AZ217" s="190"/>
      <c r="BA217" s="201"/>
      <c r="BB217" s="201"/>
      <c r="BC217" s="201"/>
      <c r="BD217" s="201"/>
      <c r="BE217" s="201"/>
      <c r="BF217" s="201"/>
      <c r="BG217" s="201"/>
      <c r="BH217" s="201"/>
      <c r="BI217" s="204"/>
      <c r="BJ217" s="204"/>
      <c r="BK217" s="204"/>
      <c r="BL217" s="206"/>
    </row>
    <row r="218" spans="34:64" ht="15.75"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6"/>
      <c r="AT218" s="196"/>
      <c r="AU218" s="190"/>
      <c r="AV218" s="190"/>
      <c r="AW218" s="201"/>
      <c r="AX218" s="201"/>
      <c r="AY218" s="201"/>
      <c r="AZ218" s="190"/>
      <c r="BA218" s="201"/>
      <c r="BB218" s="201"/>
      <c r="BC218" s="201"/>
      <c r="BD218" s="201"/>
      <c r="BE218" s="201"/>
      <c r="BF218" s="201"/>
      <c r="BG218" s="201"/>
      <c r="BH218" s="201"/>
      <c r="BI218" s="204"/>
      <c r="BJ218" s="204"/>
      <c r="BK218" s="204"/>
      <c r="BL218" s="206"/>
    </row>
    <row r="219" spans="34:64" ht="15.75"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6"/>
      <c r="AT219" s="196"/>
      <c r="AU219" s="190"/>
      <c r="AV219" s="190"/>
      <c r="AW219" s="201"/>
      <c r="AX219" s="201"/>
      <c r="AY219" s="201"/>
      <c r="AZ219" s="190"/>
      <c r="BA219" s="201"/>
      <c r="BB219" s="201"/>
      <c r="BC219" s="201"/>
      <c r="BD219" s="201"/>
      <c r="BE219" s="201"/>
      <c r="BF219" s="201"/>
      <c r="BG219" s="201"/>
      <c r="BH219" s="201"/>
      <c r="BI219" s="204"/>
      <c r="BJ219" s="204"/>
      <c r="BK219" s="204"/>
      <c r="BL219" s="206"/>
    </row>
    <row r="220" spans="34:64" ht="15.75"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6"/>
      <c r="AT220" s="196"/>
      <c r="AU220" s="190"/>
      <c r="AV220" s="190"/>
      <c r="AW220" s="201"/>
      <c r="AX220" s="201"/>
      <c r="AY220" s="201"/>
      <c r="AZ220" s="190"/>
      <c r="BA220" s="201"/>
      <c r="BB220" s="201"/>
      <c r="BC220" s="201"/>
      <c r="BD220" s="201"/>
      <c r="BE220" s="201"/>
      <c r="BF220" s="201"/>
      <c r="BG220" s="201"/>
      <c r="BH220" s="201"/>
      <c r="BI220" s="204"/>
      <c r="BJ220" s="204"/>
      <c r="BK220" s="204"/>
      <c r="BL220" s="206"/>
    </row>
    <row r="221" spans="34:64" ht="15.75"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6"/>
      <c r="AT221" s="196"/>
      <c r="AU221" s="190"/>
      <c r="AV221" s="190"/>
      <c r="AW221" s="201"/>
      <c r="AX221" s="201"/>
      <c r="AY221" s="201"/>
      <c r="AZ221" s="190"/>
      <c r="BA221" s="201"/>
      <c r="BB221" s="201"/>
      <c r="BC221" s="201"/>
      <c r="BD221" s="201"/>
      <c r="BE221" s="201"/>
      <c r="BF221" s="201"/>
      <c r="BG221" s="201"/>
      <c r="BH221" s="201"/>
      <c r="BI221" s="204"/>
      <c r="BJ221" s="204"/>
      <c r="BK221" s="204"/>
      <c r="BL221" s="206"/>
    </row>
    <row r="222" spans="34:64" ht="15.75"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6"/>
      <c r="AT222" s="196"/>
      <c r="AU222" s="190"/>
      <c r="AV222" s="190"/>
      <c r="AW222" s="201"/>
      <c r="AX222" s="201"/>
      <c r="AY222" s="201"/>
      <c r="AZ222" s="190"/>
      <c r="BA222" s="201"/>
      <c r="BB222" s="201"/>
      <c r="BC222" s="201"/>
      <c r="BD222" s="201"/>
      <c r="BE222" s="201"/>
      <c r="BF222" s="201"/>
      <c r="BG222" s="201"/>
      <c r="BH222" s="201"/>
      <c r="BI222" s="204"/>
      <c r="BJ222" s="204"/>
      <c r="BK222" s="204"/>
      <c r="BL222" s="206"/>
    </row>
    <row r="223" spans="34:64" ht="15.75"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6"/>
      <c r="AT223" s="196"/>
      <c r="AU223" s="190"/>
      <c r="AV223" s="190"/>
      <c r="AW223" s="201"/>
      <c r="AX223" s="201"/>
      <c r="AY223" s="201"/>
      <c r="AZ223" s="190"/>
      <c r="BA223" s="201"/>
      <c r="BB223" s="201"/>
      <c r="BC223" s="201"/>
      <c r="BD223" s="201"/>
      <c r="BE223" s="201"/>
      <c r="BF223" s="201"/>
      <c r="BG223" s="201"/>
      <c r="BH223" s="201"/>
      <c r="BI223" s="204"/>
      <c r="BJ223" s="204"/>
      <c r="BK223" s="204"/>
      <c r="BL223" s="206"/>
    </row>
    <row r="224" spans="34:64" ht="15.75"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6"/>
      <c r="AT224" s="196"/>
      <c r="AU224" s="190"/>
      <c r="AV224" s="190"/>
      <c r="AW224" s="201"/>
      <c r="AX224" s="201"/>
      <c r="AY224" s="201"/>
      <c r="AZ224" s="190"/>
      <c r="BA224" s="201"/>
      <c r="BB224" s="201"/>
      <c r="BC224" s="201"/>
      <c r="BD224" s="201"/>
      <c r="BE224" s="201"/>
      <c r="BF224" s="201"/>
      <c r="BG224" s="201"/>
      <c r="BH224" s="201"/>
      <c r="BI224" s="204"/>
      <c r="BJ224" s="204"/>
      <c r="BK224" s="204"/>
      <c r="BL224" s="206"/>
    </row>
    <row r="225" spans="34:64" ht="15.75"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6"/>
      <c r="AT225" s="196"/>
      <c r="AU225" s="190"/>
      <c r="AV225" s="190"/>
      <c r="AW225" s="201"/>
      <c r="AX225" s="201"/>
      <c r="AY225" s="201"/>
      <c r="AZ225" s="190"/>
      <c r="BA225" s="201"/>
      <c r="BB225" s="201"/>
      <c r="BC225" s="201"/>
      <c r="BD225" s="201"/>
      <c r="BE225" s="201"/>
      <c r="BF225" s="201"/>
      <c r="BG225" s="201"/>
      <c r="BH225" s="201"/>
      <c r="BI225" s="204"/>
      <c r="BJ225" s="204"/>
      <c r="BK225" s="204"/>
      <c r="BL225" s="206"/>
    </row>
    <row r="226" spans="34:64" ht="15.75"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6"/>
      <c r="AT226" s="196"/>
      <c r="AU226" s="190"/>
      <c r="AV226" s="190"/>
      <c r="AW226" s="201"/>
      <c r="AX226" s="201"/>
      <c r="AY226" s="201"/>
      <c r="AZ226" s="190"/>
      <c r="BA226" s="201"/>
      <c r="BB226" s="201"/>
      <c r="BC226" s="201"/>
      <c r="BD226" s="201"/>
      <c r="BE226" s="201"/>
      <c r="BF226" s="201"/>
      <c r="BG226" s="201"/>
      <c r="BH226" s="201"/>
      <c r="BI226" s="204"/>
      <c r="BJ226" s="204"/>
      <c r="BK226" s="204"/>
      <c r="BL226" s="206"/>
    </row>
    <row r="227" spans="34:64" ht="15.75"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6"/>
      <c r="AT227" s="196"/>
      <c r="AU227" s="190"/>
      <c r="AV227" s="190"/>
      <c r="AW227" s="201"/>
      <c r="AX227" s="201"/>
      <c r="AY227" s="201"/>
      <c r="AZ227" s="190"/>
      <c r="BA227" s="201"/>
      <c r="BB227" s="201"/>
      <c r="BC227" s="201"/>
      <c r="BD227" s="201"/>
      <c r="BE227" s="201"/>
      <c r="BF227" s="201"/>
      <c r="BG227" s="201"/>
      <c r="BH227" s="201"/>
      <c r="BI227" s="204"/>
      <c r="BJ227" s="204"/>
      <c r="BK227" s="204"/>
      <c r="BL227" s="206"/>
    </row>
    <row r="228" spans="34:64" ht="15.75"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6"/>
      <c r="AT228" s="196"/>
      <c r="AU228" s="190"/>
      <c r="AV228" s="190"/>
      <c r="AW228" s="201"/>
      <c r="AX228" s="201"/>
      <c r="AY228" s="201"/>
      <c r="AZ228" s="190"/>
      <c r="BA228" s="201"/>
      <c r="BB228" s="201"/>
      <c r="BC228" s="201"/>
      <c r="BD228" s="201"/>
      <c r="BE228" s="201"/>
      <c r="BF228" s="201"/>
      <c r="BG228" s="201"/>
      <c r="BH228" s="201"/>
      <c r="BI228" s="204"/>
      <c r="BJ228" s="204"/>
      <c r="BK228" s="204"/>
      <c r="BL228" s="206"/>
    </row>
    <row r="229" spans="34:64" ht="15.75"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6"/>
      <c r="AT229" s="196"/>
      <c r="AU229" s="190"/>
      <c r="AV229" s="190"/>
      <c r="AW229" s="201"/>
      <c r="AX229" s="201"/>
      <c r="AY229" s="201"/>
      <c r="AZ229" s="190"/>
      <c r="BA229" s="201"/>
      <c r="BB229" s="201"/>
      <c r="BC229" s="201"/>
      <c r="BD229" s="201"/>
      <c r="BE229" s="201"/>
      <c r="BF229" s="201"/>
      <c r="BG229" s="201"/>
      <c r="BH229" s="201"/>
      <c r="BI229" s="204"/>
      <c r="BJ229" s="204"/>
      <c r="BK229" s="204"/>
      <c r="BL229" s="206"/>
    </row>
    <row r="230" spans="34:64" ht="15.75"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6"/>
      <c r="AT230" s="196"/>
      <c r="AU230" s="190"/>
      <c r="AV230" s="190"/>
      <c r="AW230" s="201"/>
      <c r="AX230" s="201"/>
      <c r="AY230" s="201"/>
      <c r="AZ230" s="190"/>
      <c r="BA230" s="201"/>
      <c r="BB230" s="201"/>
      <c r="BC230" s="201"/>
      <c r="BD230" s="201"/>
      <c r="BE230" s="201"/>
      <c r="BF230" s="201"/>
      <c r="BG230" s="201"/>
      <c r="BH230" s="201"/>
      <c r="BI230" s="204"/>
      <c r="BJ230" s="204"/>
      <c r="BK230" s="204"/>
      <c r="BL230" s="206"/>
    </row>
    <row r="231" spans="34:64" ht="15.75"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6"/>
      <c r="AT231" s="196"/>
      <c r="AU231" s="190"/>
      <c r="AV231" s="190"/>
      <c r="AW231" s="201"/>
      <c r="AX231" s="201"/>
      <c r="AY231" s="201"/>
      <c r="AZ231" s="190"/>
      <c r="BA231" s="201"/>
      <c r="BB231" s="201"/>
      <c r="BC231" s="201"/>
      <c r="BD231" s="201"/>
      <c r="BE231" s="201"/>
      <c r="BF231" s="201"/>
      <c r="BG231" s="201"/>
      <c r="BH231" s="201"/>
      <c r="BI231" s="204"/>
      <c r="BJ231" s="204"/>
      <c r="BK231" s="204"/>
      <c r="BL231" s="206"/>
    </row>
    <row r="232" spans="34:64" ht="15.75"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6"/>
      <c r="AT232" s="196"/>
      <c r="AU232" s="190"/>
      <c r="AV232" s="190"/>
      <c r="AW232" s="201"/>
      <c r="AX232" s="201"/>
      <c r="AY232" s="201"/>
      <c r="AZ232" s="190"/>
      <c r="BA232" s="201"/>
      <c r="BB232" s="201"/>
      <c r="BC232" s="201"/>
      <c r="BD232" s="201"/>
      <c r="BE232" s="201"/>
      <c r="BF232" s="201"/>
      <c r="BG232" s="201"/>
      <c r="BH232" s="201"/>
      <c r="BI232" s="204"/>
      <c r="BJ232" s="204"/>
      <c r="BK232" s="204"/>
      <c r="BL232" s="206"/>
    </row>
    <row r="233" spans="34:64" ht="15.75"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6"/>
      <c r="AT233" s="196"/>
      <c r="AU233" s="190"/>
      <c r="AV233" s="190"/>
      <c r="AW233" s="201"/>
      <c r="AX233" s="201"/>
      <c r="AY233" s="201"/>
      <c r="AZ233" s="190"/>
      <c r="BA233" s="201"/>
      <c r="BB233" s="201"/>
      <c r="BC233" s="201"/>
      <c r="BD233" s="201"/>
      <c r="BE233" s="201"/>
      <c r="BF233" s="201"/>
      <c r="BG233" s="201"/>
      <c r="BH233" s="201"/>
      <c r="BI233" s="204"/>
      <c r="BJ233" s="204"/>
      <c r="BK233" s="204"/>
      <c r="BL233" s="206"/>
    </row>
    <row r="234" spans="34:64" ht="15.75"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6"/>
      <c r="AT234" s="196"/>
      <c r="AU234" s="190"/>
      <c r="AV234" s="190"/>
      <c r="AW234" s="201"/>
      <c r="AX234" s="201"/>
      <c r="AY234" s="201"/>
      <c r="AZ234" s="190"/>
      <c r="BA234" s="201"/>
      <c r="BB234" s="201"/>
      <c r="BC234" s="201"/>
      <c r="BD234" s="201"/>
      <c r="BE234" s="201"/>
      <c r="BF234" s="201"/>
      <c r="BG234" s="201"/>
      <c r="BH234" s="201"/>
      <c r="BI234" s="204"/>
      <c r="BJ234" s="204"/>
      <c r="BK234" s="204"/>
      <c r="BL234" s="206"/>
    </row>
    <row r="235" spans="34:64" ht="15.75"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6"/>
      <c r="AT235" s="196"/>
      <c r="AU235" s="190"/>
      <c r="AV235" s="190"/>
      <c r="AW235" s="201"/>
      <c r="AX235" s="201"/>
      <c r="AY235" s="201"/>
      <c r="AZ235" s="190"/>
      <c r="BA235" s="201"/>
      <c r="BB235" s="201"/>
      <c r="BC235" s="201"/>
      <c r="BD235" s="201"/>
      <c r="BE235" s="201"/>
      <c r="BF235" s="201"/>
      <c r="BG235" s="201"/>
      <c r="BH235" s="201"/>
      <c r="BI235" s="204"/>
      <c r="BJ235" s="204"/>
      <c r="BK235" s="204"/>
      <c r="BL235" s="206"/>
    </row>
    <row r="236" spans="34:64" ht="15.75"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6"/>
      <c r="AT236" s="196"/>
      <c r="AU236" s="190"/>
      <c r="AV236" s="190"/>
      <c r="AW236" s="201"/>
      <c r="AX236" s="201"/>
      <c r="AY236" s="201"/>
      <c r="AZ236" s="190"/>
      <c r="BA236" s="201"/>
      <c r="BB236" s="201"/>
      <c r="BC236" s="201"/>
      <c r="BD236" s="201"/>
      <c r="BE236" s="201"/>
      <c r="BF236" s="201"/>
      <c r="BG236" s="201"/>
      <c r="BH236" s="201"/>
      <c r="BI236" s="204"/>
      <c r="BJ236" s="204"/>
      <c r="BK236" s="204"/>
      <c r="BL236" s="206"/>
    </row>
    <row r="237" spans="34:64" ht="15.75"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6"/>
      <c r="AT237" s="196"/>
      <c r="AU237" s="190"/>
      <c r="AV237" s="190"/>
      <c r="AW237" s="201"/>
      <c r="AX237" s="201"/>
      <c r="AY237" s="201"/>
      <c r="AZ237" s="190"/>
      <c r="BA237" s="201"/>
      <c r="BB237" s="201"/>
      <c r="BC237" s="201"/>
      <c r="BD237" s="201"/>
      <c r="BE237" s="201"/>
      <c r="BF237" s="201"/>
      <c r="BG237" s="201"/>
      <c r="BH237" s="201"/>
      <c r="BI237" s="204"/>
      <c r="BJ237" s="204"/>
      <c r="BK237" s="204"/>
      <c r="BL237" s="206"/>
    </row>
    <row r="238" spans="34:64" ht="15.75"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6"/>
      <c r="AT238" s="196"/>
      <c r="AU238" s="190"/>
      <c r="AV238" s="190"/>
      <c r="AW238" s="201"/>
      <c r="AX238" s="201"/>
      <c r="AY238" s="201"/>
      <c r="AZ238" s="190"/>
      <c r="BA238" s="201"/>
      <c r="BB238" s="201"/>
      <c r="BC238" s="201"/>
      <c r="BD238" s="201"/>
      <c r="BE238" s="201"/>
      <c r="BF238" s="201"/>
      <c r="BG238" s="201"/>
      <c r="BH238" s="201"/>
      <c r="BI238" s="204"/>
      <c r="BJ238" s="204"/>
      <c r="BK238" s="204"/>
      <c r="BL238" s="206"/>
    </row>
    <row r="239" spans="34:64" ht="15.75"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6"/>
      <c r="AT239" s="196"/>
      <c r="AU239" s="190"/>
      <c r="AV239" s="190"/>
      <c r="AW239" s="201"/>
      <c r="AX239" s="201"/>
      <c r="AY239" s="201"/>
      <c r="AZ239" s="190"/>
      <c r="BA239" s="201"/>
      <c r="BB239" s="201"/>
      <c r="BC239" s="201"/>
      <c r="BD239" s="201"/>
      <c r="BE239" s="201"/>
      <c r="BF239" s="201"/>
      <c r="BG239" s="201"/>
      <c r="BH239" s="201"/>
      <c r="BI239" s="204"/>
      <c r="BJ239" s="204"/>
      <c r="BK239" s="204"/>
      <c r="BL239" s="206"/>
    </row>
    <row r="240" spans="34:64" ht="15.75"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6"/>
      <c r="AT240" s="196"/>
      <c r="AU240" s="190"/>
      <c r="AV240" s="190"/>
      <c r="AW240" s="201"/>
      <c r="AX240" s="201"/>
      <c r="AY240" s="201"/>
      <c r="AZ240" s="190"/>
      <c r="BA240" s="201"/>
      <c r="BB240" s="201"/>
      <c r="BC240" s="201"/>
      <c r="BD240" s="201"/>
      <c r="BE240" s="201"/>
      <c r="BF240" s="201"/>
      <c r="BG240" s="201"/>
      <c r="BH240" s="201"/>
      <c r="BI240" s="204"/>
      <c r="BJ240" s="204"/>
      <c r="BK240" s="204"/>
      <c r="BL240" s="206"/>
    </row>
    <row r="241" spans="34:64" ht="15.75"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6"/>
      <c r="AT241" s="196"/>
      <c r="AU241" s="190"/>
      <c r="AV241" s="190"/>
      <c r="AW241" s="201"/>
      <c r="AX241" s="201"/>
      <c r="AY241" s="201"/>
      <c r="AZ241" s="190"/>
      <c r="BA241" s="201"/>
      <c r="BB241" s="201"/>
      <c r="BC241" s="201"/>
      <c r="BD241" s="201"/>
      <c r="BE241" s="201"/>
      <c r="BF241" s="201"/>
      <c r="BG241" s="201"/>
      <c r="BH241" s="201"/>
      <c r="BI241" s="204"/>
      <c r="BJ241" s="204"/>
      <c r="BK241" s="204"/>
      <c r="BL241" s="206"/>
    </row>
    <row r="242" spans="34:64" ht="15.75"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6"/>
      <c r="AT242" s="196"/>
      <c r="AU242" s="190"/>
      <c r="AV242" s="190"/>
      <c r="AW242" s="201"/>
      <c r="AX242" s="201"/>
      <c r="AY242" s="201"/>
      <c r="AZ242" s="190"/>
      <c r="BA242" s="201"/>
      <c r="BB242" s="201"/>
      <c r="BC242" s="201"/>
      <c r="BD242" s="201"/>
      <c r="BE242" s="201"/>
      <c r="BF242" s="201"/>
      <c r="BG242" s="201"/>
      <c r="BH242" s="201"/>
      <c r="BI242" s="204"/>
      <c r="BJ242" s="204"/>
      <c r="BK242" s="204"/>
      <c r="BL242" s="206"/>
    </row>
    <row r="243" spans="34:64" ht="15.75"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6"/>
      <c r="AT243" s="196"/>
      <c r="AU243" s="190"/>
      <c r="AV243" s="190"/>
      <c r="AW243" s="201"/>
      <c r="AX243" s="201"/>
      <c r="AY243" s="201"/>
      <c r="AZ243" s="190"/>
      <c r="BA243" s="201"/>
      <c r="BB243" s="201"/>
      <c r="BC243" s="201"/>
      <c r="BD243" s="201"/>
      <c r="BE243" s="201"/>
      <c r="BF243" s="201"/>
      <c r="BG243" s="201"/>
      <c r="BH243" s="201"/>
      <c r="BI243" s="204"/>
      <c r="BJ243" s="204"/>
      <c r="BK243" s="204"/>
      <c r="BL243" s="206"/>
    </row>
    <row r="244" spans="34:64" ht="15.75"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6"/>
      <c r="AT244" s="196"/>
      <c r="AU244" s="190"/>
      <c r="AV244" s="190"/>
      <c r="AW244" s="201"/>
      <c r="AX244" s="201"/>
      <c r="AY244" s="201"/>
      <c r="AZ244" s="190"/>
      <c r="BA244" s="201"/>
      <c r="BB244" s="201"/>
      <c r="BC244" s="201"/>
      <c r="BD244" s="201"/>
      <c r="BE244" s="201"/>
      <c r="BF244" s="201"/>
      <c r="BG244" s="201"/>
      <c r="BH244" s="201"/>
      <c r="BI244" s="204"/>
      <c r="BJ244" s="204"/>
      <c r="BK244" s="204"/>
      <c r="BL244" s="206"/>
    </row>
    <row r="245" spans="34:64" ht="15.75"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6"/>
      <c r="AT245" s="196"/>
      <c r="AU245" s="190"/>
      <c r="AV245" s="190"/>
      <c r="AW245" s="201"/>
      <c r="AX245" s="201"/>
      <c r="AY245" s="201"/>
      <c r="AZ245" s="190"/>
      <c r="BA245" s="201"/>
      <c r="BB245" s="201"/>
      <c r="BC245" s="201"/>
      <c r="BD245" s="201"/>
      <c r="BE245" s="201"/>
      <c r="BF245" s="201"/>
      <c r="BG245" s="201"/>
      <c r="BH245" s="201"/>
      <c r="BI245" s="204"/>
      <c r="BJ245" s="204"/>
      <c r="BK245" s="204"/>
      <c r="BL245" s="206"/>
    </row>
    <row r="246" spans="34:64" ht="15.75"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6"/>
      <c r="AT246" s="196"/>
      <c r="AU246" s="190"/>
      <c r="AV246" s="190"/>
      <c r="AW246" s="201"/>
      <c r="AX246" s="201"/>
      <c r="AY246" s="201"/>
      <c r="AZ246" s="190"/>
      <c r="BA246" s="201"/>
      <c r="BB246" s="201"/>
      <c r="BC246" s="201"/>
      <c r="BD246" s="201"/>
      <c r="BE246" s="201"/>
      <c r="BF246" s="201"/>
      <c r="BG246" s="201"/>
      <c r="BH246" s="201"/>
      <c r="BI246" s="204"/>
      <c r="BJ246" s="204"/>
      <c r="BK246" s="204"/>
      <c r="BL246" s="206"/>
    </row>
    <row r="247" spans="34:64" ht="15.75"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6"/>
      <c r="AT247" s="196"/>
      <c r="AU247" s="190"/>
      <c r="AV247" s="190"/>
      <c r="AW247" s="201"/>
      <c r="AX247" s="201"/>
      <c r="AY247" s="201"/>
      <c r="AZ247" s="190"/>
      <c r="BA247" s="201"/>
      <c r="BB247" s="201"/>
      <c r="BC247" s="201"/>
      <c r="BD247" s="201"/>
      <c r="BE247" s="201"/>
      <c r="BF247" s="201"/>
      <c r="BG247" s="201"/>
      <c r="BH247" s="201"/>
      <c r="BI247" s="204"/>
      <c r="BJ247" s="204"/>
      <c r="BK247" s="204"/>
      <c r="BL247" s="206"/>
    </row>
    <row r="248" spans="34:64" ht="15.75"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6"/>
      <c r="AT248" s="196"/>
      <c r="AU248" s="190"/>
      <c r="AV248" s="190"/>
      <c r="AW248" s="201"/>
      <c r="AX248" s="201"/>
      <c r="AY248" s="201"/>
      <c r="AZ248" s="190"/>
      <c r="BA248" s="201"/>
      <c r="BB248" s="201"/>
      <c r="BC248" s="201"/>
      <c r="BD248" s="201"/>
      <c r="BE248" s="201"/>
      <c r="BF248" s="201"/>
      <c r="BG248" s="201"/>
      <c r="BH248" s="201"/>
      <c r="BI248" s="204"/>
      <c r="BJ248" s="204"/>
      <c r="BK248" s="204"/>
      <c r="BL248" s="206"/>
    </row>
    <row r="249" spans="34:64" ht="15.75"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6"/>
      <c r="AT249" s="196"/>
      <c r="AU249" s="190"/>
      <c r="AV249" s="190"/>
      <c r="AW249" s="201"/>
      <c r="AX249" s="201"/>
      <c r="AY249" s="201"/>
      <c r="AZ249" s="190"/>
      <c r="BA249" s="201"/>
      <c r="BB249" s="201"/>
      <c r="BC249" s="201"/>
      <c r="BD249" s="201"/>
      <c r="BE249" s="201"/>
      <c r="BF249" s="201"/>
      <c r="BG249" s="201"/>
      <c r="BH249" s="201"/>
      <c r="BI249" s="204"/>
      <c r="BJ249" s="204"/>
      <c r="BK249" s="204"/>
      <c r="BL249" s="206"/>
    </row>
    <row r="250" spans="34:64" ht="15.75"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6"/>
      <c r="AT250" s="196"/>
      <c r="AU250" s="190"/>
      <c r="AV250" s="190"/>
      <c r="AW250" s="201"/>
      <c r="AX250" s="201"/>
      <c r="AY250" s="201"/>
      <c r="AZ250" s="190"/>
      <c r="BA250" s="201"/>
      <c r="BB250" s="201"/>
      <c r="BC250" s="201"/>
      <c r="BD250" s="201"/>
      <c r="BE250" s="201"/>
      <c r="BF250" s="201"/>
      <c r="BG250" s="201"/>
      <c r="BH250" s="201"/>
      <c r="BI250" s="204"/>
      <c r="BJ250" s="204"/>
      <c r="BK250" s="204"/>
      <c r="BL250" s="206"/>
    </row>
    <row r="251" spans="34:64" ht="15.75"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6"/>
      <c r="AT251" s="196"/>
      <c r="AU251" s="190"/>
      <c r="AV251" s="190"/>
      <c r="AW251" s="201"/>
      <c r="AX251" s="201"/>
      <c r="AY251" s="201"/>
      <c r="AZ251" s="190"/>
      <c r="BA251" s="201"/>
      <c r="BB251" s="201"/>
      <c r="BC251" s="201"/>
      <c r="BD251" s="201"/>
      <c r="BE251" s="201"/>
      <c r="BF251" s="201"/>
      <c r="BG251" s="201"/>
      <c r="BH251" s="201"/>
      <c r="BI251" s="204"/>
      <c r="BJ251" s="204"/>
      <c r="BK251" s="204"/>
      <c r="BL251" s="206"/>
    </row>
    <row r="252" spans="34:64" ht="15.75"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196"/>
      <c r="AT252" s="196"/>
      <c r="AU252" s="190"/>
      <c r="AV252" s="190"/>
      <c r="AW252" s="201"/>
      <c r="AX252" s="201"/>
      <c r="AY252" s="201"/>
      <c r="AZ252" s="190"/>
      <c r="BA252" s="201"/>
      <c r="BB252" s="201"/>
      <c r="BC252" s="201"/>
      <c r="BD252" s="201"/>
      <c r="BE252" s="201"/>
      <c r="BF252" s="201"/>
      <c r="BG252" s="201"/>
      <c r="BH252" s="201"/>
      <c r="BI252" s="204"/>
      <c r="BJ252" s="204"/>
      <c r="BK252" s="204"/>
      <c r="BL252" s="206"/>
    </row>
    <row r="253" spans="34:64" ht="15.75"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6"/>
      <c r="AT253" s="196"/>
      <c r="AU253" s="190"/>
      <c r="AV253" s="190"/>
      <c r="AW253" s="201"/>
      <c r="AX253" s="201"/>
      <c r="AY253" s="201"/>
      <c r="AZ253" s="190"/>
      <c r="BA253" s="201"/>
      <c r="BB253" s="201"/>
      <c r="BC253" s="201"/>
      <c r="BD253" s="201"/>
      <c r="BE253" s="201"/>
      <c r="BF253" s="201"/>
      <c r="BG253" s="201"/>
      <c r="BH253" s="201"/>
      <c r="BI253" s="204"/>
      <c r="BJ253" s="204"/>
      <c r="BK253" s="204"/>
      <c r="BL253" s="206"/>
    </row>
    <row r="254" spans="34:64" ht="15.75"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6"/>
      <c r="AT254" s="196"/>
      <c r="AU254" s="190"/>
      <c r="AV254" s="190"/>
      <c r="AW254" s="201"/>
      <c r="AX254" s="201"/>
      <c r="AY254" s="201"/>
      <c r="AZ254" s="190"/>
      <c r="BA254" s="201"/>
      <c r="BB254" s="201"/>
      <c r="BC254" s="201"/>
      <c r="BD254" s="201"/>
      <c r="BE254" s="201"/>
      <c r="BF254" s="201"/>
      <c r="BG254" s="201"/>
      <c r="BH254" s="201"/>
      <c r="BI254" s="204"/>
      <c r="BJ254" s="204"/>
      <c r="BK254" s="204"/>
      <c r="BL254" s="206"/>
    </row>
    <row r="255" spans="34:64" ht="15.75"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6"/>
      <c r="AT255" s="196"/>
      <c r="AU255" s="190"/>
      <c r="AV255" s="190"/>
      <c r="AW255" s="201"/>
      <c r="AX255" s="201"/>
      <c r="AY255" s="201"/>
      <c r="AZ255" s="190"/>
      <c r="BA255" s="201"/>
      <c r="BB255" s="201"/>
      <c r="BC255" s="201"/>
      <c r="BD255" s="201"/>
      <c r="BE255" s="201"/>
      <c r="BF255" s="201"/>
      <c r="BG255" s="201"/>
      <c r="BH255" s="201"/>
      <c r="BI255" s="204"/>
      <c r="BJ255" s="204"/>
      <c r="BK255" s="204"/>
      <c r="BL255" s="206"/>
    </row>
    <row r="256" spans="34:64" ht="15.75"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6"/>
      <c r="AT256" s="196"/>
      <c r="AU256" s="190"/>
      <c r="AV256" s="190"/>
      <c r="AW256" s="201"/>
      <c r="AX256" s="201"/>
      <c r="AY256" s="201"/>
      <c r="AZ256" s="190"/>
      <c r="BA256" s="201"/>
      <c r="BB256" s="201"/>
      <c r="BC256" s="201"/>
      <c r="BD256" s="201"/>
      <c r="BE256" s="201"/>
      <c r="BF256" s="201"/>
      <c r="BG256" s="201"/>
      <c r="BH256" s="201"/>
      <c r="BI256" s="204"/>
      <c r="BJ256" s="204"/>
      <c r="BK256" s="204"/>
      <c r="BL256" s="206"/>
    </row>
    <row r="257" spans="34:64" ht="15.75"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6"/>
      <c r="AT257" s="196"/>
      <c r="AU257" s="190"/>
      <c r="AV257" s="190"/>
      <c r="AW257" s="201"/>
      <c r="AX257" s="201"/>
      <c r="AY257" s="201"/>
      <c r="AZ257" s="190"/>
      <c r="BA257" s="201"/>
      <c r="BB257" s="201"/>
      <c r="BC257" s="201"/>
      <c r="BD257" s="201"/>
      <c r="BE257" s="201"/>
      <c r="BF257" s="201"/>
      <c r="BG257" s="201"/>
      <c r="BH257" s="201"/>
      <c r="BI257" s="204"/>
      <c r="BJ257" s="204"/>
      <c r="BK257" s="204"/>
      <c r="BL257" s="206"/>
    </row>
    <row r="258" spans="34:64" ht="15.75"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6"/>
      <c r="AT258" s="196"/>
      <c r="AU258" s="190"/>
      <c r="AV258" s="190"/>
      <c r="AW258" s="201"/>
      <c r="AX258" s="201"/>
      <c r="AY258" s="201"/>
      <c r="AZ258" s="190"/>
      <c r="BA258" s="201"/>
      <c r="BB258" s="201"/>
      <c r="BC258" s="201"/>
      <c r="BD258" s="201"/>
      <c r="BE258" s="201"/>
      <c r="BF258" s="201"/>
      <c r="BG258" s="201"/>
      <c r="BH258" s="201"/>
      <c r="BI258" s="204"/>
      <c r="BJ258" s="204"/>
      <c r="BK258" s="204"/>
      <c r="BL258" s="206"/>
    </row>
    <row r="259" spans="34:64" ht="15.75"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6"/>
      <c r="AT259" s="196"/>
      <c r="AU259" s="190"/>
      <c r="AV259" s="190"/>
      <c r="AW259" s="201"/>
      <c r="AX259" s="201"/>
      <c r="AY259" s="201"/>
      <c r="AZ259" s="190"/>
      <c r="BA259" s="201"/>
      <c r="BB259" s="201"/>
      <c r="BC259" s="201"/>
      <c r="BD259" s="201"/>
      <c r="BE259" s="201"/>
      <c r="BF259" s="201"/>
      <c r="BG259" s="201"/>
      <c r="BH259" s="201"/>
      <c r="BI259" s="204"/>
      <c r="BJ259" s="204"/>
      <c r="BK259" s="204"/>
      <c r="BL259" s="206"/>
    </row>
    <row r="260" spans="34:64" ht="15.75"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6"/>
      <c r="AT260" s="196"/>
      <c r="AU260" s="190"/>
      <c r="AV260" s="190"/>
      <c r="AW260" s="201"/>
      <c r="AX260" s="201"/>
      <c r="AY260" s="201"/>
      <c r="AZ260" s="190"/>
      <c r="BA260" s="201"/>
      <c r="BB260" s="201"/>
      <c r="BC260" s="201"/>
      <c r="BD260" s="201"/>
      <c r="BE260" s="201"/>
      <c r="BF260" s="201"/>
      <c r="BG260" s="201"/>
      <c r="BH260" s="201"/>
      <c r="BI260" s="204"/>
      <c r="BJ260" s="204"/>
      <c r="BK260" s="204"/>
      <c r="BL260" s="206"/>
    </row>
    <row r="261" spans="34:64" ht="15.75"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6"/>
      <c r="AT261" s="196"/>
      <c r="AU261" s="190"/>
      <c r="AV261" s="190"/>
      <c r="AW261" s="201"/>
      <c r="AX261" s="201"/>
      <c r="AY261" s="201"/>
      <c r="AZ261" s="190"/>
      <c r="BA261" s="201"/>
      <c r="BB261" s="201"/>
      <c r="BC261" s="201"/>
      <c r="BD261" s="201"/>
      <c r="BE261" s="201"/>
      <c r="BF261" s="201"/>
      <c r="BG261" s="201"/>
      <c r="BH261" s="201"/>
      <c r="BI261" s="204"/>
      <c r="BJ261" s="204"/>
      <c r="BK261" s="204"/>
      <c r="BL261" s="206"/>
    </row>
    <row r="262" spans="34:64" ht="15.75"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6"/>
      <c r="AT262" s="196"/>
      <c r="AU262" s="190"/>
      <c r="AV262" s="190"/>
      <c r="AW262" s="201"/>
      <c r="AX262" s="201"/>
      <c r="AY262" s="201"/>
      <c r="AZ262" s="190"/>
      <c r="BA262" s="201"/>
      <c r="BB262" s="201"/>
      <c r="BC262" s="201"/>
      <c r="BD262" s="201"/>
      <c r="BE262" s="201"/>
      <c r="BF262" s="201"/>
      <c r="BG262" s="201"/>
      <c r="BH262" s="201"/>
      <c r="BI262" s="204"/>
      <c r="BJ262" s="204"/>
      <c r="BK262" s="204"/>
      <c r="BL262" s="206"/>
    </row>
    <row r="263" spans="34:64" ht="15.75"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6"/>
      <c r="AT263" s="196"/>
      <c r="AU263" s="190"/>
      <c r="AV263" s="190"/>
      <c r="AW263" s="201"/>
      <c r="AX263" s="201"/>
      <c r="AY263" s="201"/>
      <c r="AZ263" s="190"/>
      <c r="BA263" s="201"/>
      <c r="BB263" s="201"/>
      <c r="BC263" s="201"/>
      <c r="BD263" s="201"/>
      <c r="BE263" s="201"/>
      <c r="BF263" s="201"/>
      <c r="BG263" s="201"/>
      <c r="BH263" s="201"/>
      <c r="BI263" s="204"/>
      <c r="BJ263" s="204"/>
      <c r="BK263" s="204"/>
      <c r="BL263" s="206"/>
    </row>
    <row r="264" spans="34:64" ht="15.75"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6"/>
      <c r="AT264" s="196"/>
      <c r="AU264" s="190"/>
      <c r="AV264" s="190"/>
      <c r="AW264" s="201"/>
      <c r="AX264" s="201"/>
      <c r="AY264" s="201"/>
      <c r="AZ264" s="190"/>
      <c r="BA264" s="201"/>
      <c r="BB264" s="201"/>
      <c r="BC264" s="201"/>
      <c r="BD264" s="201"/>
      <c r="BE264" s="201"/>
      <c r="BF264" s="201"/>
      <c r="BG264" s="201"/>
      <c r="BH264" s="201"/>
      <c r="BI264" s="204"/>
      <c r="BJ264" s="204"/>
      <c r="BK264" s="204"/>
      <c r="BL264" s="206"/>
    </row>
    <row r="265" spans="34:64" ht="15.75"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6"/>
      <c r="AT265" s="196"/>
      <c r="AU265" s="190"/>
      <c r="AV265" s="190"/>
      <c r="AW265" s="201"/>
      <c r="AX265" s="201"/>
      <c r="AY265" s="201"/>
      <c r="AZ265" s="190"/>
      <c r="BA265" s="201"/>
      <c r="BB265" s="201"/>
      <c r="BC265" s="201"/>
      <c r="BD265" s="201"/>
      <c r="BE265" s="201"/>
      <c r="BF265" s="201"/>
      <c r="BG265" s="201"/>
      <c r="BH265" s="201"/>
      <c r="BI265" s="204"/>
      <c r="BJ265" s="204"/>
      <c r="BK265" s="204"/>
      <c r="BL265" s="206"/>
    </row>
    <row r="266" spans="34:64" ht="15.75"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6"/>
      <c r="AT266" s="196"/>
      <c r="AU266" s="190"/>
      <c r="AV266" s="190"/>
      <c r="AW266" s="201"/>
      <c r="AX266" s="201"/>
      <c r="AY266" s="201"/>
      <c r="AZ266" s="190"/>
      <c r="BA266" s="201"/>
      <c r="BB266" s="201"/>
      <c r="BC266" s="201"/>
      <c r="BD266" s="201"/>
      <c r="BE266" s="201"/>
      <c r="BF266" s="201"/>
      <c r="BG266" s="201"/>
      <c r="BH266" s="201"/>
      <c r="BI266" s="204"/>
      <c r="BJ266" s="204"/>
      <c r="BK266" s="204"/>
      <c r="BL266" s="206"/>
    </row>
    <row r="267" spans="34:64" ht="15.75"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6"/>
      <c r="AT267" s="196"/>
      <c r="AU267" s="190"/>
      <c r="AV267" s="190"/>
      <c r="AW267" s="201"/>
      <c r="AX267" s="201"/>
      <c r="AY267" s="201"/>
      <c r="AZ267" s="190"/>
      <c r="BA267" s="201"/>
      <c r="BB267" s="201"/>
      <c r="BC267" s="201"/>
      <c r="BD267" s="201"/>
      <c r="BE267" s="201"/>
      <c r="BF267" s="201"/>
      <c r="BG267" s="201"/>
      <c r="BH267" s="201"/>
      <c r="BI267" s="204"/>
      <c r="BJ267" s="204"/>
      <c r="BK267" s="204"/>
      <c r="BL267" s="206"/>
    </row>
    <row r="268" spans="34:64" ht="15.75"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6"/>
      <c r="AT268" s="196"/>
      <c r="AU268" s="190"/>
      <c r="AV268" s="190"/>
      <c r="AW268" s="201"/>
      <c r="AX268" s="201"/>
      <c r="AY268" s="201"/>
      <c r="AZ268" s="190"/>
      <c r="BA268" s="201"/>
      <c r="BB268" s="201"/>
      <c r="BC268" s="201"/>
      <c r="BD268" s="201"/>
      <c r="BE268" s="201"/>
      <c r="BF268" s="201"/>
      <c r="BG268" s="201"/>
      <c r="BH268" s="201"/>
      <c r="BI268" s="204"/>
      <c r="BJ268" s="204"/>
      <c r="BK268" s="204"/>
      <c r="BL268" s="206"/>
    </row>
    <row r="269" spans="34:64" ht="15.75"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6"/>
      <c r="AT269" s="196"/>
      <c r="AU269" s="190"/>
      <c r="AV269" s="190"/>
      <c r="AW269" s="201"/>
      <c r="AX269" s="201"/>
      <c r="AY269" s="201"/>
      <c r="AZ269" s="190"/>
      <c r="BA269" s="201"/>
      <c r="BB269" s="201"/>
      <c r="BC269" s="201"/>
      <c r="BD269" s="201"/>
      <c r="BE269" s="201"/>
      <c r="BF269" s="201"/>
      <c r="BG269" s="201"/>
      <c r="BH269" s="201"/>
      <c r="BI269" s="204"/>
      <c r="BJ269" s="204"/>
      <c r="BK269" s="204"/>
      <c r="BL269" s="206"/>
    </row>
    <row r="270" spans="34:64" ht="15.75"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6"/>
      <c r="AT270" s="196"/>
      <c r="AU270" s="190"/>
      <c r="AV270" s="190"/>
      <c r="AW270" s="201"/>
      <c r="AX270" s="201"/>
      <c r="AY270" s="201"/>
      <c r="AZ270" s="190"/>
      <c r="BA270" s="201"/>
      <c r="BB270" s="201"/>
      <c r="BC270" s="201"/>
      <c r="BD270" s="201"/>
      <c r="BE270" s="201"/>
      <c r="BF270" s="201"/>
      <c r="BG270" s="201"/>
      <c r="BH270" s="201"/>
      <c r="BI270" s="204"/>
      <c r="BJ270" s="204"/>
      <c r="BK270" s="204"/>
      <c r="BL270" s="206"/>
    </row>
    <row r="271" spans="34:64" ht="15.75"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6"/>
      <c r="AT271" s="196"/>
      <c r="AU271" s="190"/>
      <c r="AV271" s="190"/>
      <c r="AW271" s="201"/>
      <c r="AX271" s="201"/>
      <c r="AY271" s="201"/>
      <c r="AZ271" s="190"/>
      <c r="BA271" s="201"/>
      <c r="BB271" s="201"/>
      <c r="BC271" s="201"/>
      <c r="BD271" s="201"/>
      <c r="BE271" s="201"/>
      <c r="BF271" s="201"/>
      <c r="BG271" s="201"/>
      <c r="BH271" s="201"/>
      <c r="BI271" s="204"/>
      <c r="BJ271" s="204"/>
      <c r="BK271" s="204"/>
      <c r="BL271" s="206"/>
    </row>
    <row r="272" spans="34:64" ht="15.75"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6"/>
      <c r="AT272" s="196"/>
      <c r="AU272" s="190"/>
      <c r="AV272" s="190"/>
      <c r="AW272" s="201"/>
      <c r="AX272" s="201"/>
      <c r="AY272" s="201"/>
      <c r="AZ272" s="190"/>
      <c r="BA272" s="201"/>
      <c r="BB272" s="201"/>
      <c r="BC272" s="201"/>
      <c r="BD272" s="201"/>
      <c r="BE272" s="201"/>
      <c r="BF272" s="201"/>
      <c r="BG272" s="201"/>
      <c r="BH272" s="201"/>
      <c r="BI272" s="204"/>
      <c r="BJ272" s="204"/>
      <c r="BK272" s="204"/>
      <c r="BL272" s="206"/>
    </row>
    <row r="273" spans="34:64" ht="15.75"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6"/>
      <c r="AT273" s="196"/>
      <c r="AU273" s="190"/>
      <c r="AV273" s="190"/>
      <c r="AW273" s="201"/>
      <c r="AX273" s="201"/>
      <c r="AY273" s="201"/>
      <c r="AZ273" s="190"/>
      <c r="BA273" s="201"/>
      <c r="BB273" s="201"/>
      <c r="BC273" s="201"/>
      <c r="BD273" s="201"/>
      <c r="BE273" s="201"/>
      <c r="BF273" s="201"/>
      <c r="BG273" s="201"/>
      <c r="BH273" s="201"/>
      <c r="BI273" s="204"/>
      <c r="BJ273" s="204"/>
      <c r="BK273" s="204"/>
      <c r="BL273" s="206"/>
    </row>
    <row r="274" spans="34:64" ht="15.75"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6"/>
      <c r="AT274" s="196"/>
      <c r="AU274" s="190"/>
      <c r="AV274" s="190"/>
      <c r="AW274" s="201"/>
      <c r="AX274" s="201"/>
      <c r="AY274" s="201"/>
      <c r="AZ274" s="190"/>
      <c r="BA274" s="201"/>
      <c r="BB274" s="201"/>
      <c r="BC274" s="201"/>
      <c r="BD274" s="201"/>
      <c r="BE274" s="201"/>
      <c r="BF274" s="201"/>
      <c r="BG274" s="201"/>
      <c r="BH274" s="201"/>
      <c r="BI274" s="204"/>
      <c r="BJ274" s="204"/>
      <c r="BK274" s="204"/>
      <c r="BL274" s="206"/>
    </row>
    <row r="275" spans="34:64" ht="15.75"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6"/>
      <c r="AT275" s="196"/>
      <c r="AU275" s="190"/>
      <c r="AV275" s="190"/>
      <c r="AW275" s="201"/>
      <c r="AX275" s="201"/>
      <c r="AY275" s="201"/>
      <c r="AZ275" s="190"/>
      <c r="BA275" s="201"/>
      <c r="BB275" s="201"/>
      <c r="BC275" s="201"/>
      <c r="BD275" s="201"/>
      <c r="BE275" s="201"/>
      <c r="BF275" s="201"/>
      <c r="BG275" s="201"/>
      <c r="BH275" s="201"/>
      <c r="BI275" s="204"/>
      <c r="BJ275" s="204"/>
      <c r="BK275" s="204"/>
      <c r="BL275" s="206"/>
    </row>
    <row r="276" spans="34:64" ht="15.75"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6"/>
      <c r="AT276" s="196"/>
      <c r="AU276" s="190"/>
      <c r="AV276" s="190"/>
      <c r="AW276" s="201"/>
      <c r="AX276" s="201"/>
      <c r="AY276" s="201"/>
      <c r="AZ276" s="190"/>
      <c r="BA276" s="201"/>
      <c r="BB276" s="201"/>
      <c r="BC276" s="201"/>
      <c r="BD276" s="201"/>
      <c r="BE276" s="201"/>
      <c r="BF276" s="201"/>
      <c r="BG276" s="201"/>
      <c r="BH276" s="201"/>
      <c r="BI276" s="204"/>
      <c r="BJ276" s="204"/>
      <c r="BK276" s="204"/>
      <c r="BL276" s="206"/>
    </row>
    <row r="277" spans="34:64" ht="15.75"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6"/>
      <c r="AT277" s="196"/>
      <c r="AU277" s="190"/>
      <c r="AV277" s="190"/>
      <c r="AW277" s="201"/>
      <c r="AX277" s="201"/>
      <c r="AY277" s="201"/>
      <c r="AZ277" s="190"/>
      <c r="BA277" s="201"/>
      <c r="BB277" s="201"/>
      <c r="BC277" s="201"/>
      <c r="BD277" s="201"/>
      <c r="BE277" s="201"/>
      <c r="BF277" s="201"/>
      <c r="BG277" s="201"/>
      <c r="BH277" s="201"/>
      <c r="BI277" s="204"/>
      <c r="BJ277" s="204"/>
      <c r="BK277" s="204"/>
      <c r="BL277" s="206"/>
    </row>
    <row r="278" spans="34:64" ht="15.75"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6"/>
      <c r="AT278" s="196"/>
      <c r="AU278" s="190"/>
      <c r="AV278" s="190"/>
      <c r="AW278" s="201"/>
      <c r="AX278" s="201"/>
      <c r="AY278" s="201"/>
      <c r="AZ278" s="190"/>
      <c r="BA278" s="201"/>
      <c r="BB278" s="201"/>
      <c r="BC278" s="201"/>
      <c r="BD278" s="201"/>
      <c r="BE278" s="201"/>
      <c r="BF278" s="201"/>
      <c r="BG278" s="201"/>
      <c r="BH278" s="201"/>
      <c r="BI278" s="204"/>
      <c r="BJ278" s="204"/>
      <c r="BK278" s="204"/>
      <c r="BL278" s="206"/>
    </row>
    <row r="279" spans="34:64" ht="15.75"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6"/>
      <c r="AT279" s="196"/>
      <c r="AU279" s="190"/>
      <c r="AV279" s="190"/>
      <c r="AW279" s="201"/>
      <c r="AX279" s="201"/>
      <c r="AY279" s="201"/>
      <c r="AZ279" s="190"/>
      <c r="BA279" s="201"/>
      <c r="BB279" s="201"/>
      <c r="BC279" s="201"/>
      <c r="BD279" s="201"/>
      <c r="BE279" s="201"/>
      <c r="BF279" s="201"/>
      <c r="BG279" s="201"/>
      <c r="BH279" s="201"/>
      <c r="BI279" s="204"/>
      <c r="BJ279" s="204"/>
      <c r="BK279" s="204"/>
      <c r="BL279" s="206"/>
    </row>
    <row r="280" spans="34:64" ht="15.75"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6"/>
      <c r="AT280" s="196"/>
      <c r="AU280" s="190"/>
      <c r="AV280" s="190"/>
      <c r="AW280" s="201"/>
      <c r="AX280" s="201"/>
      <c r="AY280" s="201"/>
      <c r="AZ280" s="190"/>
      <c r="BA280" s="201"/>
      <c r="BB280" s="201"/>
      <c r="BC280" s="201"/>
      <c r="BD280" s="201"/>
      <c r="BE280" s="201"/>
      <c r="BF280" s="201"/>
      <c r="BG280" s="201"/>
      <c r="BH280" s="201"/>
      <c r="BI280" s="204"/>
      <c r="BJ280" s="204"/>
      <c r="BK280" s="204"/>
      <c r="BL280" s="206"/>
    </row>
    <row r="281" spans="34:64" ht="15.75"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6"/>
      <c r="AT281" s="196"/>
      <c r="AU281" s="190"/>
      <c r="AV281" s="190"/>
      <c r="AW281" s="201"/>
      <c r="AX281" s="201"/>
      <c r="AY281" s="201"/>
      <c r="AZ281" s="190"/>
      <c r="BA281" s="201"/>
      <c r="BB281" s="201"/>
      <c r="BC281" s="201"/>
      <c r="BD281" s="201"/>
      <c r="BE281" s="201"/>
      <c r="BF281" s="201"/>
      <c r="BG281" s="201"/>
      <c r="BH281" s="201"/>
      <c r="BI281" s="204"/>
      <c r="BJ281" s="204"/>
      <c r="BK281" s="204"/>
      <c r="BL281" s="206"/>
    </row>
    <row r="282" spans="34:64" ht="15.75"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6"/>
      <c r="AT282" s="196"/>
      <c r="AU282" s="190"/>
      <c r="AV282" s="190"/>
      <c r="AW282" s="201"/>
      <c r="AX282" s="201"/>
      <c r="AY282" s="201"/>
      <c r="AZ282" s="190"/>
      <c r="BA282" s="201"/>
      <c r="BB282" s="201"/>
      <c r="BC282" s="201"/>
      <c r="BD282" s="201"/>
      <c r="BE282" s="201"/>
      <c r="BF282" s="201"/>
      <c r="BG282" s="201"/>
      <c r="BH282" s="201"/>
      <c r="BI282" s="204"/>
      <c r="BJ282" s="204"/>
      <c r="BK282" s="204"/>
      <c r="BL282" s="206"/>
    </row>
    <row r="283" spans="34:64" ht="15.75"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6"/>
      <c r="AT283" s="196"/>
      <c r="AU283" s="190"/>
      <c r="AV283" s="190"/>
      <c r="AW283" s="201"/>
      <c r="AX283" s="201"/>
      <c r="AY283" s="201"/>
      <c r="AZ283" s="190"/>
      <c r="BA283" s="201"/>
      <c r="BB283" s="201"/>
      <c r="BC283" s="201"/>
      <c r="BD283" s="201"/>
      <c r="BE283" s="201"/>
      <c r="BF283" s="201"/>
      <c r="BG283" s="201"/>
      <c r="BH283" s="201"/>
      <c r="BI283" s="204"/>
      <c r="BJ283" s="204"/>
      <c r="BK283" s="204"/>
      <c r="BL283" s="206"/>
    </row>
    <row r="284" spans="34:64" ht="15.75"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6"/>
      <c r="AT284" s="196"/>
      <c r="AU284" s="190"/>
      <c r="AV284" s="190"/>
      <c r="AW284" s="201"/>
      <c r="AX284" s="201"/>
      <c r="AY284" s="201"/>
      <c r="AZ284" s="190"/>
      <c r="BA284" s="201"/>
      <c r="BB284" s="201"/>
      <c r="BC284" s="201"/>
      <c r="BD284" s="201"/>
      <c r="BE284" s="201"/>
      <c r="BF284" s="201"/>
      <c r="BG284" s="201"/>
      <c r="BH284" s="201"/>
      <c r="BI284" s="204"/>
      <c r="BJ284" s="204"/>
      <c r="BK284" s="204"/>
      <c r="BL284" s="206"/>
    </row>
    <row r="285" spans="34:64" ht="15.75"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6"/>
      <c r="AT285" s="196"/>
      <c r="AU285" s="190"/>
      <c r="AV285" s="190"/>
      <c r="AW285" s="201"/>
      <c r="AX285" s="201"/>
      <c r="AY285" s="201"/>
      <c r="AZ285" s="190"/>
      <c r="BA285" s="201"/>
      <c r="BB285" s="201"/>
      <c r="BC285" s="201"/>
      <c r="BD285" s="201"/>
      <c r="BE285" s="201"/>
      <c r="BF285" s="201"/>
      <c r="BG285" s="201"/>
      <c r="BH285" s="201"/>
      <c r="BI285" s="204"/>
      <c r="BJ285" s="204"/>
      <c r="BK285" s="204"/>
      <c r="BL285" s="206"/>
    </row>
    <row r="286" spans="34:64" ht="15.75"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6"/>
      <c r="AT286" s="196"/>
      <c r="AU286" s="190"/>
      <c r="AV286" s="190"/>
      <c r="AW286" s="201"/>
      <c r="AX286" s="201"/>
      <c r="AY286" s="201"/>
      <c r="AZ286" s="190"/>
      <c r="BA286" s="201"/>
      <c r="BB286" s="201"/>
      <c r="BC286" s="201"/>
      <c r="BD286" s="201"/>
      <c r="BE286" s="201"/>
      <c r="BF286" s="201"/>
      <c r="BG286" s="201"/>
      <c r="BH286" s="201"/>
      <c r="BI286" s="204"/>
      <c r="BJ286" s="204"/>
      <c r="BK286" s="204"/>
      <c r="BL286" s="206"/>
    </row>
    <row r="287" spans="34:64" ht="15.75"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6"/>
      <c r="AT287" s="196"/>
      <c r="AU287" s="190"/>
      <c r="AV287" s="190"/>
      <c r="AW287" s="201"/>
      <c r="AX287" s="201"/>
      <c r="AY287" s="201"/>
      <c r="AZ287" s="190"/>
      <c r="BA287" s="201"/>
      <c r="BB287" s="201"/>
      <c r="BC287" s="201"/>
      <c r="BD287" s="201"/>
      <c r="BE287" s="201"/>
      <c r="BF287" s="201"/>
      <c r="BG287" s="201"/>
      <c r="BH287" s="201"/>
      <c r="BI287" s="204"/>
      <c r="BJ287" s="204"/>
      <c r="BK287" s="204"/>
      <c r="BL287" s="206"/>
    </row>
    <row r="288" spans="34:64" ht="15.75"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6"/>
      <c r="AT288" s="196"/>
      <c r="AU288" s="190"/>
      <c r="AV288" s="190"/>
      <c r="AW288" s="201"/>
      <c r="AX288" s="201"/>
      <c r="AY288" s="201"/>
      <c r="AZ288" s="190"/>
      <c r="BA288" s="201"/>
      <c r="BB288" s="201"/>
      <c r="BC288" s="201"/>
      <c r="BD288" s="201"/>
      <c r="BE288" s="201"/>
      <c r="BF288" s="201"/>
      <c r="BG288" s="201"/>
      <c r="BH288" s="201"/>
      <c r="BI288" s="204"/>
      <c r="BJ288" s="204"/>
      <c r="BK288" s="204"/>
      <c r="BL288" s="206"/>
    </row>
    <row r="289" spans="34:64" ht="15.75"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6"/>
      <c r="AT289" s="196"/>
      <c r="AU289" s="190"/>
      <c r="AV289" s="190"/>
      <c r="AW289" s="201"/>
      <c r="AX289" s="201"/>
      <c r="AY289" s="201"/>
      <c r="AZ289" s="190"/>
      <c r="BA289" s="201"/>
      <c r="BB289" s="201"/>
      <c r="BC289" s="201"/>
      <c r="BD289" s="201"/>
      <c r="BE289" s="201"/>
      <c r="BF289" s="201"/>
      <c r="BG289" s="201"/>
      <c r="BH289" s="201"/>
      <c r="BI289" s="204"/>
      <c r="BJ289" s="204"/>
      <c r="BK289" s="204"/>
      <c r="BL289" s="206"/>
    </row>
    <row r="290" spans="34:64" ht="15.75"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6"/>
      <c r="AT290" s="196"/>
      <c r="AU290" s="190"/>
      <c r="AV290" s="190"/>
      <c r="AW290" s="201"/>
      <c r="AX290" s="201"/>
      <c r="AY290" s="201"/>
      <c r="AZ290" s="190"/>
      <c r="BA290" s="201"/>
      <c r="BB290" s="201"/>
      <c r="BC290" s="201"/>
      <c r="BD290" s="201"/>
      <c r="BE290" s="201"/>
      <c r="BF290" s="201"/>
      <c r="BG290" s="201"/>
      <c r="BH290" s="201"/>
      <c r="BI290" s="204"/>
      <c r="BJ290" s="204"/>
      <c r="BK290" s="204"/>
      <c r="BL290" s="206"/>
    </row>
    <row r="291" spans="34:64" ht="15.75"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6"/>
      <c r="AT291" s="196"/>
      <c r="AU291" s="190"/>
      <c r="AV291" s="190"/>
      <c r="AW291" s="201"/>
      <c r="AX291" s="201"/>
      <c r="AY291" s="201"/>
      <c r="AZ291" s="190"/>
      <c r="BA291" s="201"/>
      <c r="BB291" s="201"/>
      <c r="BC291" s="201"/>
      <c r="BD291" s="201"/>
      <c r="BE291" s="201"/>
      <c r="BF291" s="201"/>
      <c r="BG291" s="201"/>
      <c r="BH291" s="201"/>
      <c r="BI291" s="204"/>
      <c r="BJ291" s="204"/>
      <c r="BK291" s="204"/>
      <c r="BL291" s="206"/>
    </row>
    <row r="292" spans="34:64" ht="15.75"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6"/>
      <c r="AT292" s="196"/>
      <c r="AU292" s="190"/>
      <c r="AV292" s="190"/>
      <c r="AW292" s="201"/>
      <c r="AX292" s="201"/>
      <c r="AY292" s="201"/>
      <c r="AZ292" s="190"/>
      <c r="BA292" s="201"/>
      <c r="BB292" s="201"/>
      <c r="BC292" s="201"/>
      <c r="BD292" s="201"/>
      <c r="BE292" s="201"/>
      <c r="BF292" s="201"/>
      <c r="BG292" s="201"/>
      <c r="BH292" s="201"/>
      <c r="BI292" s="204"/>
      <c r="BJ292" s="204"/>
      <c r="BK292" s="204"/>
      <c r="BL292" s="206"/>
    </row>
    <row r="293" spans="34:64" ht="15.75"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  <c r="AR293" s="190"/>
      <c r="AS293" s="196"/>
      <c r="AT293" s="196"/>
      <c r="AU293" s="190"/>
      <c r="AV293" s="190"/>
      <c r="AW293" s="201"/>
      <c r="AX293" s="201"/>
      <c r="AY293" s="201"/>
      <c r="AZ293" s="190"/>
      <c r="BA293" s="201"/>
      <c r="BB293" s="201"/>
      <c r="BC293" s="201"/>
      <c r="BD293" s="201"/>
      <c r="BE293" s="201"/>
      <c r="BF293" s="201"/>
      <c r="BG293" s="201"/>
      <c r="BH293" s="201"/>
      <c r="BI293" s="204"/>
      <c r="BJ293" s="204"/>
      <c r="BK293" s="204"/>
      <c r="BL293" s="206"/>
    </row>
    <row r="294" spans="34:64" ht="15.75"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6"/>
      <c r="AT294" s="196"/>
      <c r="AU294" s="190"/>
      <c r="AV294" s="190"/>
      <c r="AW294" s="201"/>
      <c r="AX294" s="201"/>
      <c r="AY294" s="201"/>
      <c r="AZ294" s="190"/>
      <c r="BA294" s="201"/>
      <c r="BB294" s="201"/>
      <c r="BC294" s="201"/>
      <c r="BD294" s="201"/>
      <c r="BE294" s="201"/>
      <c r="BF294" s="201"/>
      <c r="BG294" s="201"/>
      <c r="BH294" s="201"/>
      <c r="BI294" s="204"/>
      <c r="BJ294" s="204"/>
      <c r="BK294" s="204"/>
      <c r="BL294" s="206"/>
    </row>
    <row r="295" spans="34:64" ht="15.75"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6"/>
      <c r="AT295" s="196"/>
      <c r="AU295" s="190"/>
      <c r="AV295" s="190"/>
      <c r="AW295" s="201"/>
      <c r="AX295" s="201"/>
      <c r="AY295" s="201"/>
      <c r="AZ295" s="190"/>
      <c r="BA295" s="201"/>
      <c r="BB295" s="201"/>
      <c r="BC295" s="201"/>
      <c r="BD295" s="201"/>
      <c r="BE295" s="201"/>
      <c r="BF295" s="201"/>
      <c r="BG295" s="201"/>
      <c r="BH295" s="201"/>
      <c r="BI295" s="204"/>
      <c r="BJ295" s="204"/>
      <c r="BK295" s="204"/>
      <c r="BL295" s="206"/>
    </row>
    <row r="296" spans="34:64" ht="15.75"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6"/>
      <c r="AT296" s="196"/>
      <c r="AU296" s="190"/>
      <c r="AV296" s="190"/>
      <c r="AW296" s="201"/>
      <c r="AX296" s="201"/>
      <c r="AY296" s="201"/>
      <c r="AZ296" s="190"/>
      <c r="BA296" s="201"/>
      <c r="BB296" s="201"/>
      <c r="BC296" s="201"/>
      <c r="BD296" s="201"/>
      <c r="BE296" s="201"/>
      <c r="BF296" s="201"/>
      <c r="BG296" s="201"/>
      <c r="BH296" s="201"/>
      <c r="BI296" s="204"/>
      <c r="BJ296" s="204"/>
      <c r="BK296" s="204"/>
      <c r="BL296" s="206"/>
    </row>
    <row r="297" spans="34:64" ht="15.75"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6"/>
      <c r="AT297" s="196"/>
      <c r="AU297" s="190"/>
      <c r="AV297" s="190"/>
      <c r="AW297" s="201"/>
      <c r="AX297" s="201"/>
      <c r="AY297" s="201"/>
      <c r="AZ297" s="190"/>
      <c r="BA297" s="201"/>
      <c r="BB297" s="201"/>
      <c r="BC297" s="201"/>
      <c r="BD297" s="201"/>
      <c r="BE297" s="201"/>
      <c r="BF297" s="201"/>
      <c r="BG297" s="201"/>
      <c r="BH297" s="201"/>
      <c r="BI297" s="204"/>
      <c r="BJ297" s="204"/>
      <c r="BK297" s="204"/>
      <c r="BL297" s="206"/>
    </row>
    <row r="298" spans="34:64" ht="15.75"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6"/>
      <c r="AT298" s="196"/>
      <c r="AU298" s="190"/>
      <c r="AV298" s="190"/>
      <c r="AW298" s="201"/>
      <c r="AX298" s="201"/>
      <c r="AY298" s="201"/>
      <c r="AZ298" s="190"/>
      <c r="BA298" s="201"/>
      <c r="BB298" s="201"/>
      <c r="BC298" s="201"/>
      <c r="BD298" s="201"/>
      <c r="BE298" s="201"/>
      <c r="BF298" s="201"/>
      <c r="BG298" s="201"/>
      <c r="BH298" s="201"/>
      <c r="BI298" s="204"/>
      <c r="BJ298" s="204"/>
      <c r="BK298" s="204"/>
      <c r="BL298" s="206"/>
    </row>
    <row r="299" spans="34:64" ht="15.75"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6"/>
      <c r="AT299" s="196"/>
      <c r="AU299" s="190"/>
      <c r="AV299" s="190"/>
      <c r="AW299" s="201"/>
      <c r="AX299" s="201"/>
      <c r="AY299" s="201"/>
      <c r="AZ299" s="190"/>
      <c r="BA299" s="201"/>
      <c r="BB299" s="201"/>
      <c r="BC299" s="201"/>
      <c r="BD299" s="201"/>
      <c r="BE299" s="201"/>
      <c r="BF299" s="201"/>
      <c r="BG299" s="201"/>
      <c r="BH299" s="201"/>
      <c r="BI299" s="204"/>
      <c r="BJ299" s="204"/>
      <c r="BK299" s="204"/>
      <c r="BL299" s="206"/>
    </row>
    <row r="300" spans="34:64" ht="15.75"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6"/>
      <c r="AT300" s="196"/>
      <c r="AU300" s="190"/>
      <c r="AV300" s="190"/>
      <c r="AW300" s="201"/>
      <c r="AX300" s="201"/>
      <c r="AY300" s="201"/>
      <c r="AZ300" s="190"/>
      <c r="BA300" s="201"/>
      <c r="BB300" s="201"/>
      <c r="BC300" s="201"/>
      <c r="BD300" s="201"/>
      <c r="BE300" s="201"/>
      <c r="BF300" s="201"/>
      <c r="BG300" s="201"/>
      <c r="BH300" s="201"/>
      <c r="BI300" s="204"/>
      <c r="BJ300" s="204"/>
      <c r="BK300" s="204"/>
      <c r="BL300" s="206"/>
    </row>
    <row r="301" spans="34:64" ht="15.75"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6"/>
      <c r="AT301" s="196"/>
      <c r="AU301" s="190"/>
      <c r="AV301" s="190"/>
      <c r="AW301" s="201"/>
      <c r="AX301" s="201"/>
      <c r="AY301" s="201"/>
      <c r="AZ301" s="190"/>
      <c r="BA301" s="201"/>
      <c r="BB301" s="201"/>
      <c r="BC301" s="201"/>
      <c r="BD301" s="201"/>
      <c r="BE301" s="201"/>
      <c r="BF301" s="201"/>
      <c r="BG301" s="201"/>
      <c r="BH301" s="201"/>
      <c r="BI301" s="204"/>
      <c r="BJ301" s="204"/>
      <c r="BK301" s="204"/>
      <c r="BL301" s="206"/>
    </row>
    <row r="302" spans="34:64" ht="15.75"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6"/>
      <c r="AT302" s="196"/>
      <c r="AU302" s="190"/>
      <c r="AV302" s="190"/>
      <c r="AW302" s="201"/>
      <c r="AX302" s="201"/>
      <c r="AY302" s="201"/>
      <c r="AZ302" s="190"/>
      <c r="BA302" s="201"/>
      <c r="BB302" s="201"/>
      <c r="BC302" s="201"/>
      <c r="BD302" s="201"/>
      <c r="BE302" s="201"/>
      <c r="BF302" s="201"/>
      <c r="BG302" s="201"/>
      <c r="BH302" s="201"/>
      <c r="BI302" s="204"/>
      <c r="BJ302" s="204"/>
      <c r="BK302" s="204"/>
      <c r="BL302" s="206"/>
    </row>
    <row r="303" spans="34:64" ht="15.75"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6"/>
      <c r="AT303" s="196"/>
      <c r="AU303" s="190"/>
      <c r="AV303" s="190"/>
      <c r="AW303" s="201"/>
      <c r="AX303" s="201"/>
      <c r="AY303" s="201"/>
      <c r="AZ303" s="190"/>
      <c r="BA303" s="201"/>
      <c r="BB303" s="201"/>
      <c r="BC303" s="201"/>
      <c r="BD303" s="201"/>
      <c r="BE303" s="201"/>
      <c r="BF303" s="201"/>
      <c r="BG303" s="201"/>
      <c r="BH303" s="201"/>
      <c r="BI303" s="204"/>
      <c r="BJ303" s="204"/>
      <c r="BK303" s="204"/>
      <c r="BL303" s="206"/>
    </row>
    <row r="304" spans="34:64" ht="15.75"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6"/>
      <c r="AT304" s="196"/>
      <c r="AU304" s="190"/>
      <c r="AV304" s="190"/>
      <c r="AW304" s="201"/>
      <c r="AX304" s="201"/>
      <c r="AY304" s="201"/>
      <c r="AZ304" s="190"/>
      <c r="BA304" s="201"/>
      <c r="BB304" s="201"/>
      <c r="BC304" s="201"/>
      <c r="BD304" s="201"/>
      <c r="BE304" s="201"/>
      <c r="BF304" s="201"/>
      <c r="BG304" s="201"/>
      <c r="BH304" s="201"/>
      <c r="BI304" s="204"/>
      <c r="BJ304" s="204"/>
      <c r="BK304" s="204"/>
      <c r="BL304" s="206"/>
    </row>
    <row r="305" spans="34:64" ht="15.75"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6"/>
      <c r="AT305" s="196"/>
      <c r="AU305" s="190"/>
      <c r="AV305" s="190"/>
      <c r="AW305" s="201"/>
      <c r="AX305" s="201"/>
      <c r="AY305" s="201"/>
      <c r="AZ305" s="190"/>
      <c r="BA305" s="201"/>
      <c r="BB305" s="201"/>
      <c r="BC305" s="201"/>
      <c r="BD305" s="201"/>
      <c r="BE305" s="201"/>
      <c r="BF305" s="201"/>
      <c r="BG305" s="201"/>
      <c r="BH305" s="201"/>
      <c r="BI305" s="204"/>
      <c r="BJ305" s="204"/>
      <c r="BK305" s="204"/>
      <c r="BL305" s="206"/>
    </row>
    <row r="306" spans="34:64" ht="15.75"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0"/>
      <c r="AS306" s="196"/>
      <c r="AT306" s="196"/>
      <c r="AU306" s="190"/>
      <c r="AV306" s="190"/>
      <c r="AW306" s="201"/>
      <c r="AX306" s="201"/>
      <c r="AY306" s="201"/>
      <c r="AZ306" s="190"/>
      <c r="BA306" s="201"/>
      <c r="BB306" s="201"/>
      <c r="BC306" s="201"/>
      <c r="BD306" s="201"/>
      <c r="BE306" s="201"/>
      <c r="BF306" s="201"/>
      <c r="BG306" s="201"/>
      <c r="BH306" s="201"/>
      <c r="BI306" s="204"/>
      <c r="BJ306" s="204"/>
      <c r="BK306" s="204"/>
      <c r="BL306" s="206"/>
    </row>
    <row r="307" spans="34:64" ht="15.75"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6"/>
      <c r="AT307" s="196"/>
      <c r="AU307" s="190"/>
      <c r="AV307" s="190"/>
      <c r="AW307" s="201"/>
      <c r="AX307" s="201"/>
      <c r="AY307" s="201"/>
      <c r="AZ307" s="190"/>
      <c r="BA307" s="201"/>
      <c r="BB307" s="201"/>
      <c r="BC307" s="201"/>
      <c r="BD307" s="201"/>
      <c r="BE307" s="201"/>
      <c r="BF307" s="201"/>
      <c r="BG307" s="201"/>
      <c r="BH307" s="201"/>
      <c r="BI307" s="204"/>
      <c r="BJ307" s="204"/>
      <c r="BK307" s="204"/>
      <c r="BL307" s="206"/>
    </row>
    <row r="308" spans="49:64" ht="15.75">
      <c r="AW308" s="201"/>
      <c r="AX308" s="201"/>
      <c r="AY308" s="201"/>
      <c r="AZ308" s="190"/>
      <c r="BA308" s="201"/>
      <c r="BB308" s="201"/>
      <c r="BC308" s="201"/>
      <c r="BD308" s="201"/>
      <c r="BE308" s="201"/>
      <c r="BF308" s="201"/>
      <c r="BG308" s="201"/>
      <c r="BH308" s="201"/>
      <c r="BI308" s="204"/>
      <c r="BJ308" s="204"/>
      <c r="BK308" s="204"/>
      <c r="BL308" s="206"/>
    </row>
    <row r="309" spans="49:64" ht="15.75">
      <c r="AW309" s="201"/>
      <c r="AX309" s="201"/>
      <c r="AY309" s="201"/>
      <c r="AZ309" s="190"/>
      <c r="BA309" s="201"/>
      <c r="BB309" s="201"/>
      <c r="BC309" s="201"/>
      <c r="BD309" s="201"/>
      <c r="BE309" s="201"/>
      <c r="BF309" s="201"/>
      <c r="BG309" s="201"/>
      <c r="BH309" s="201"/>
      <c r="BI309" s="204"/>
      <c r="BJ309" s="204"/>
      <c r="BK309" s="204"/>
      <c r="BL309" s="206"/>
    </row>
    <row r="310" spans="49:64" ht="15.75">
      <c r="AW310" s="201"/>
      <c r="AX310" s="201"/>
      <c r="AY310" s="201"/>
      <c r="AZ310" s="190"/>
      <c r="BA310" s="201"/>
      <c r="BB310" s="201"/>
      <c r="BC310" s="201"/>
      <c r="BD310" s="201"/>
      <c r="BE310" s="201"/>
      <c r="BF310" s="201"/>
      <c r="BG310" s="201"/>
      <c r="BH310" s="201"/>
      <c r="BI310" s="204"/>
      <c r="BJ310" s="204"/>
      <c r="BK310" s="204"/>
      <c r="BL310" s="206"/>
    </row>
    <row r="311" spans="49:64" ht="15.75">
      <c r="AW311" s="201"/>
      <c r="AX311" s="201"/>
      <c r="AY311" s="201"/>
      <c r="AZ311" s="190"/>
      <c r="BA311" s="201"/>
      <c r="BB311" s="201"/>
      <c r="BC311" s="201"/>
      <c r="BD311" s="201"/>
      <c r="BE311" s="201"/>
      <c r="BF311" s="201"/>
      <c r="BG311" s="201"/>
      <c r="BH311" s="201"/>
      <c r="BI311" s="204"/>
      <c r="BJ311" s="204"/>
      <c r="BK311" s="204"/>
      <c r="BL311" s="206"/>
    </row>
    <row r="312" spans="49:64" ht="15.75">
      <c r="AW312" s="201"/>
      <c r="AX312" s="201"/>
      <c r="AY312" s="201"/>
      <c r="AZ312" s="190"/>
      <c r="BA312" s="201"/>
      <c r="BB312" s="201"/>
      <c r="BC312" s="201"/>
      <c r="BD312" s="201"/>
      <c r="BE312" s="201"/>
      <c r="BF312" s="201"/>
      <c r="BG312" s="201"/>
      <c r="BH312" s="201"/>
      <c r="BI312" s="204"/>
      <c r="BJ312" s="204"/>
      <c r="BK312" s="204"/>
      <c r="BL312" s="206"/>
    </row>
    <row r="313" spans="52:64" ht="15.75">
      <c r="AZ313" s="190"/>
      <c r="BA313" s="201"/>
      <c r="BB313" s="201"/>
      <c r="BC313" s="201"/>
      <c r="BD313" s="201"/>
      <c r="BE313" s="201"/>
      <c r="BF313" s="201"/>
      <c r="BG313" s="201"/>
      <c r="BH313" s="201"/>
      <c r="BI313" s="204"/>
      <c r="BJ313" s="204"/>
      <c r="BK313" s="204"/>
      <c r="BL313" s="206"/>
    </row>
    <row r="314" ht="15.75">
      <c r="BL314" s="206"/>
    </row>
    <row r="315" ht="15.75">
      <c r="BL315" s="206"/>
    </row>
    <row r="316" ht="15.75">
      <c r="BL316" s="206"/>
    </row>
    <row r="317" ht="15.75">
      <c r="BL317" s="206"/>
    </row>
    <row r="318" ht="15.75">
      <c r="BL318" s="206"/>
    </row>
    <row r="319" ht="15.75">
      <c r="BL319" s="206"/>
    </row>
    <row r="320" ht="15.75">
      <c r="BL320" s="206"/>
    </row>
    <row r="321" ht="15.75">
      <c r="BL321" s="206"/>
    </row>
    <row r="322" ht="15.75">
      <c r="BL322" s="206"/>
    </row>
    <row r="323" ht="15.75">
      <c r="BL323" s="206"/>
    </row>
    <row r="324" ht="15.75">
      <c r="BL324" s="206"/>
    </row>
    <row r="325" ht="15.75">
      <c r="BL325" s="206"/>
    </row>
    <row r="326" ht="15.75">
      <c r="BL326" s="206"/>
    </row>
    <row r="327" ht="15.75">
      <c r="BL327" s="206"/>
    </row>
    <row r="328" ht="15.75">
      <c r="BL328" s="206"/>
    </row>
    <row r="329" ht="15.75">
      <c r="BL329" s="206"/>
    </row>
    <row r="330" ht="15.75">
      <c r="BL330" s="206"/>
    </row>
    <row r="331" ht="15.75">
      <c r="BL331" s="206"/>
    </row>
    <row r="332" ht="15.75">
      <c r="BL332" s="206"/>
    </row>
    <row r="333" ht="15.75">
      <c r="BL333" s="206"/>
    </row>
    <row r="334" ht="15.75">
      <c r="BL334" s="206"/>
    </row>
    <row r="335" ht="15.75">
      <c r="BL335" s="206"/>
    </row>
    <row r="336" ht="15.75">
      <c r="BL336" s="206"/>
    </row>
  </sheetData>
  <sheetProtection/>
  <mergeCells count="2">
    <mergeCell ref="A2:BL2"/>
    <mergeCell ref="V3:AG3"/>
  </mergeCells>
  <printOptions horizontalCentered="1" verticalCentered="1"/>
  <pageMargins left="0.2" right="0.2" top="0.2" bottom="0.2" header="0" footer="0"/>
  <pageSetup firstPageNumber="11" useFirstPageNumber="1" horizontalDpi="600" verticalDpi="600" orientation="landscape" paperSize="8" scale="58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5"/>
  <sheetViews>
    <sheetView showGridLines="0" tabSelected="1" workbookViewId="0" topLeftCell="A1">
      <pane xSplit="1" ySplit="5" topLeftCell="B159" activePane="bottomRight" state="frozen"/>
      <selection pane="bottomRight" activeCell="E165" sqref="E165"/>
    </sheetView>
  </sheetViews>
  <sheetFormatPr defaultColWidth="9.00390625" defaultRowHeight="14.25"/>
  <cols>
    <col min="1" max="1" width="33.625" style="47" customWidth="1"/>
    <col min="2" max="3" width="9.625" style="47" customWidth="1"/>
    <col min="4" max="4" width="9.625" style="48" customWidth="1"/>
    <col min="5" max="6" width="9.625" style="47" customWidth="1"/>
    <col min="7" max="7" width="36.00390625" style="49" customWidth="1"/>
    <col min="8" max="12" width="13.50390625" style="49" hidden="1" customWidth="1"/>
    <col min="13" max="15" width="9.625" style="49" customWidth="1"/>
    <col min="16" max="17" width="9.625" style="50" customWidth="1"/>
    <col min="18" max="18" width="11.125" style="49" bestFit="1" customWidth="1"/>
    <col min="19" max="255" width="9.00390625" style="49" customWidth="1"/>
    <col min="256" max="256" width="9.00390625" style="47" customWidth="1"/>
  </cols>
  <sheetData>
    <row r="1" spans="1:15" ht="17.25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9.5" customHeight="1">
      <c r="A2" s="52" t="s">
        <v>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7:17" s="42" customFormat="1" ht="15.75" customHeight="1">
      <c r="G3" s="53"/>
      <c r="H3" s="54"/>
      <c r="I3" s="54"/>
      <c r="J3" s="54"/>
      <c r="K3" s="54"/>
      <c r="L3" s="54"/>
      <c r="M3" s="54"/>
      <c r="N3" s="54"/>
      <c r="O3" s="54"/>
      <c r="P3" s="67"/>
      <c r="Q3" s="68" t="s">
        <v>4</v>
      </c>
    </row>
    <row r="4" spans="1:17" s="42" customFormat="1" ht="15.75" customHeight="1">
      <c r="A4" s="55" t="s">
        <v>5</v>
      </c>
      <c r="B4" s="55"/>
      <c r="C4" s="55"/>
      <c r="D4" s="55"/>
      <c r="E4" s="55"/>
      <c r="F4" s="55"/>
      <c r="G4" s="56" t="s">
        <v>36</v>
      </c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43" customFormat="1" ht="43.5" customHeight="1">
      <c r="A5" s="13" t="s">
        <v>99</v>
      </c>
      <c r="B5" s="13" t="s">
        <v>100</v>
      </c>
      <c r="C5" s="13" t="s">
        <v>101</v>
      </c>
      <c r="D5" s="13" t="s">
        <v>102</v>
      </c>
      <c r="E5" s="13" t="s">
        <v>103</v>
      </c>
      <c r="F5" s="13" t="s">
        <v>104</v>
      </c>
      <c r="G5" s="13" t="s">
        <v>99</v>
      </c>
      <c r="H5" s="13" t="s">
        <v>105</v>
      </c>
      <c r="I5" s="13" t="s">
        <v>106</v>
      </c>
      <c r="J5" s="13" t="s">
        <v>107</v>
      </c>
      <c r="K5" s="13" t="s">
        <v>108</v>
      </c>
      <c r="L5" s="13" t="s">
        <v>29</v>
      </c>
      <c r="M5" s="13" t="s">
        <v>100</v>
      </c>
      <c r="N5" s="13" t="s">
        <v>101</v>
      </c>
      <c r="O5" s="13" t="s">
        <v>102</v>
      </c>
      <c r="P5" s="13" t="s">
        <v>103</v>
      </c>
      <c r="Q5" s="13" t="s">
        <v>104</v>
      </c>
    </row>
    <row r="6" spans="1:255" s="43" customFormat="1" ht="16.5" customHeight="1">
      <c r="A6" s="57" t="s">
        <v>109</v>
      </c>
      <c r="B6" s="58">
        <v>14286.7</v>
      </c>
      <c r="C6" s="58">
        <v>14077.62</v>
      </c>
      <c r="D6" s="58">
        <f>D7+D8</f>
        <v>13212.65</v>
      </c>
      <c r="E6" s="59">
        <f>C6/B6</f>
        <v>0.9853654097867247</v>
      </c>
      <c r="F6" s="59">
        <f>D6/C6-1</f>
        <v>-0.061442914356262035</v>
      </c>
      <c r="G6" s="57" t="s">
        <v>40</v>
      </c>
      <c r="H6" s="13"/>
      <c r="I6" s="13"/>
      <c r="J6" s="13"/>
      <c r="K6" s="13"/>
      <c r="L6" s="13"/>
      <c r="M6" s="58">
        <f>M7+M32+M40+M49+M55+M61+M78+M90+M99+M106+M114+M118+M124+M129+M133+M137+M141+M144-0.03</f>
        <v>40276.68000000001</v>
      </c>
      <c r="N6" s="58">
        <f aca="true" t="shared" si="0" ref="M6:O6">N7+N32+N40+N49+N55+N61+N78+N90+N99+N106+N114+N118+N124+N129+N133+N137+N141+N144</f>
        <v>36490.8</v>
      </c>
      <c r="O6" s="58">
        <f>O7+O32+O40+O49+O55+O61+O78+O90+O99+O106+O114+O118+O124+O129+O133+O137+O141+O144+O132</f>
        <v>44496.0989</v>
      </c>
      <c r="P6" s="59">
        <f>N6/M6</f>
        <v>0.9060031760313908</v>
      </c>
      <c r="Q6" s="59">
        <f>O6/N6-1</f>
        <v>0.21937855295033248</v>
      </c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</row>
    <row r="7" spans="1:17" s="44" customFormat="1" ht="16.5" customHeight="1">
      <c r="A7" s="57" t="s">
        <v>41</v>
      </c>
      <c r="B7" s="58">
        <v>7857.37</v>
      </c>
      <c r="C7" s="58">
        <v>7757.35</v>
      </c>
      <c r="D7" s="58">
        <v>8380</v>
      </c>
      <c r="E7" s="59">
        <f aca="true" t="shared" si="1" ref="E7:E27">C7/B7</f>
        <v>0.9872705498150145</v>
      </c>
      <c r="F7" s="59">
        <f aca="true" t="shared" si="2" ref="F7:F27">D7/C7-1</f>
        <v>0.08026581242305686</v>
      </c>
      <c r="G7" s="57" t="s">
        <v>42</v>
      </c>
      <c r="H7" s="58">
        <v>4799.55</v>
      </c>
      <c r="I7" s="58">
        <v>3981.45</v>
      </c>
      <c r="J7" s="58">
        <v>6093.84</v>
      </c>
      <c r="K7" s="58">
        <v>4345.91</v>
      </c>
      <c r="L7" s="58">
        <f>SUM(L8:L31)</f>
        <v>6134.54</v>
      </c>
      <c r="M7" s="58">
        <v>6605.29</v>
      </c>
      <c r="N7" s="58">
        <v>5663.83</v>
      </c>
      <c r="O7" s="58">
        <f>SUM(O8:O31)+0.01</f>
        <v>7614.05</v>
      </c>
      <c r="P7" s="59">
        <f aca="true" t="shared" si="3" ref="P7:P26">N7/M7</f>
        <v>0.8574687863818242</v>
      </c>
      <c r="Q7" s="59">
        <f aca="true" t="shared" si="4" ref="Q7:Q26">O7/N7-1</f>
        <v>0.34432883755338706</v>
      </c>
    </row>
    <row r="8" spans="1:17" s="45" customFormat="1" ht="16.5" customHeight="1">
      <c r="A8" s="57" t="s">
        <v>43</v>
      </c>
      <c r="B8" s="58">
        <v>6429.32</v>
      </c>
      <c r="C8" s="58">
        <v>6320.27</v>
      </c>
      <c r="D8" s="58">
        <f>D9+D10+D13+D15</f>
        <v>4832.65</v>
      </c>
      <c r="E8" s="59">
        <f t="shared" si="1"/>
        <v>0.9830386417226085</v>
      </c>
      <c r="F8" s="59">
        <f t="shared" si="2"/>
        <v>-0.2353728559064725</v>
      </c>
      <c r="G8" s="60" t="s">
        <v>110</v>
      </c>
      <c r="H8" s="61">
        <v>21.85</v>
      </c>
      <c r="I8" s="61">
        <v>16.93</v>
      </c>
      <c r="J8" s="61">
        <v>64.1</v>
      </c>
      <c r="K8" s="61">
        <v>46.53</v>
      </c>
      <c r="L8" s="61">
        <v>15.85</v>
      </c>
      <c r="M8" s="61">
        <v>21</v>
      </c>
      <c r="N8" s="61">
        <v>20.77</v>
      </c>
      <c r="O8" s="61">
        <v>25.25</v>
      </c>
      <c r="P8" s="62">
        <f t="shared" si="3"/>
        <v>0.9890476190476191</v>
      </c>
      <c r="Q8" s="62">
        <f t="shared" si="4"/>
        <v>0.21569571497351947</v>
      </c>
    </row>
    <row r="9" spans="1:17" s="45" customFormat="1" ht="16.5" customHeight="1">
      <c r="A9" s="60" t="s">
        <v>45</v>
      </c>
      <c r="B9" s="61">
        <v>936.1</v>
      </c>
      <c r="C9" s="61">
        <v>873.89</v>
      </c>
      <c r="D9" s="61">
        <v>938</v>
      </c>
      <c r="E9" s="62">
        <f t="shared" si="1"/>
        <v>0.9335434248477726</v>
      </c>
      <c r="F9" s="62">
        <f t="shared" si="2"/>
        <v>0.07336163590383227</v>
      </c>
      <c r="G9" s="60" t="s">
        <v>111</v>
      </c>
      <c r="H9" s="61">
        <v>2.4</v>
      </c>
      <c r="I9" s="61">
        <v>0.96</v>
      </c>
      <c r="J9" s="61">
        <v>2.16</v>
      </c>
      <c r="K9" s="61">
        <v>1.15</v>
      </c>
      <c r="L9" s="61">
        <v>2.66</v>
      </c>
      <c r="M9" s="61">
        <v>2.66</v>
      </c>
      <c r="N9" s="61">
        <v>0.97</v>
      </c>
      <c r="O9" s="61">
        <v>3.28</v>
      </c>
      <c r="P9" s="62">
        <f t="shared" si="3"/>
        <v>0.3646616541353383</v>
      </c>
      <c r="Q9" s="62">
        <f t="shared" si="4"/>
        <v>2.381443298969072</v>
      </c>
    </row>
    <row r="10" spans="1:17" s="45" customFormat="1" ht="16.5" customHeight="1">
      <c r="A10" s="60" t="s">
        <v>49</v>
      </c>
      <c r="B10" s="61">
        <v>1301.07</v>
      </c>
      <c r="C10" s="61">
        <v>1270.5</v>
      </c>
      <c r="D10" s="61">
        <v>617.65</v>
      </c>
      <c r="E10" s="62">
        <f t="shared" si="1"/>
        <v>0.9765039544375015</v>
      </c>
      <c r="F10" s="62">
        <f t="shared" si="2"/>
        <v>-0.5138528138528139</v>
      </c>
      <c r="G10" s="60" t="s">
        <v>112</v>
      </c>
      <c r="H10" s="61">
        <v>3676.2</v>
      </c>
      <c r="I10" s="61">
        <v>2958.8</v>
      </c>
      <c r="J10" s="61">
        <v>4750.69</v>
      </c>
      <c r="K10" s="61">
        <v>3257.36</v>
      </c>
      <c r="L10" s="61">
        <v>4962.73</v>
      </c>
      <c r="M10" s="61">
        <v>5010.34</v>
      </c>
      <c r="N10" s="61">
        <v>4257.49</v>
      </c>
      <c r="O10" s="61">
        <v>6324.73</v>
      </c>
      <c r="P10" s="62">
        <f t="shared" si="3"/>
        <v>0.8497407361576259</v>
      </c>
      <c r="Q10" s="62">
        <f t="shared" si="4"/>
        <v>0.4855536947826067</v>
      </c>
    </row>
    <row r="11" spans="1:17" s="45" customFormat="1" ht="16.5" customHeight="1">
      <c r="A11" s="60" t="s">
        <v>113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0" t="s">
        <v>114</v>
      </c>
      <c r="H11" s="61">
        <v>4.1</v>
      </c>
      <c r="I11" s="61">
        <v>11.37</v>
      </c>
      <c r="J11" s="61">
        <v>55.77</v>
      </c>
      <c r="K11" s="61">
        <v>35.53</v>
      </c>
      <c r="L11" s="61">
        <v>68.03</v>
      </c>
      <c r="M11" s="61">
        <v>17.78</v>
      </c>
      <c r="N11" s="61">
        <v>13.34</v>
      </c>
      <c r="O11" s="61">
        <v>164.95</v>
      </c>
      <c r="P11" s="62">
        <f t="shared" si="3"/>
        <v>0.7502812148481439</v>
      </c>
      <c r="Q11" s="62">
        <f t="shared" si="4"/>
        <v>11.365067466266867</v>
      </c>
    </row>
    <row r="12" spans="1:17" s="45" customFormat="1" ht="16.5" customHeight="1">
      <c r="A12" s="60" t="s">
        <v>115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0" t="s">
        <v>116</v>
      </c>
      <c r="H12" s="61">
        <v>8.16</v>
      </c>
      <c r="I12" s="61">
        <v>15.42</v>
      </c>
      <c r="J12" s="61">
        <v>11</v>
      </c>
      <c r="K12" s="61">
        <v>16.55</v>
      </c>
      <c r="L12" s="61">
        <v>28.9</v>
      </c>
      <c r="M12" s="61">
        <v>31.73</v>
      </c>
      <c r="N12" s="61">
        <v>31.17</v>
      </c>
      <c r="O12" s="61">
        <v>57.48</v>
      </c>
      <c r="P12" s="62">
        <f t="shared" si="3"/>
        <v>0.982351087299086</v>
      </c>
      <c r="Q12" s="62">
        <f t="shared" si="4"/>
        <v>0.8440808469682386</v>
      </c>
    </row>
    <row r="13" spans="1:17" s="45" customFormat="1" ht="16.5" customHeight="1">
      <c r="A13" s="60" t="s">
        <v>117</v>
      </c>
      <c r="B13" s="61">
        <v>144.45</v>
      </c>
      <c r="C13" s="61">
        <v>144.45</v>
      </c>
      <c r="D13" s="61">
        <v>3233</v>
      </c>
      <c r="E13" s="62">
        <f t="shared" si="1"/>
        <v>1</v>
      </c>
      <c r="F13" s="62">
        <f t="shared" si="2"/>
        <v>21.381446867428178</v>
      </c>
      <c r="G13" s="60" t="s">
        <v>118</v>
      </c>
      <c r="H13" s="61">
        <v>173.73</v>
      </c>
      <c r="I13" s="61">
        <v>168.16</v>
      </c>
      <c r="J13" s="61">
        <v>182.15</v>
      </c>
      <c r="K13" s="61">
        <v>110.49</v>
      </c>
      <c r="L13" s="61">
        <v>158.33</v>
      </c>
      <c r="M13" s="61">
        <v>128.28</v>
      </c>
      <c r="N13" s="61">
        <v>119.96</v>
      </c>
      <c r="O13" s="61">
        <v>154.08</v>
      </c>
      <c r="P13" s="62">
        <f t="shared" si="3"/>
        <v>0.935141877143748</v>
      </c>
      <c r="Q13" s="62">
        <f t="shared" si="4"/>
        <v>0.28442814271423833</v>
      </c>
    </row>
    <row r="14" spans="1:17" s="45" customFormat="1" ht="16.5" customHeight="1">
      <c r="A14" s="60" t="s">
        <v>119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0" t="s">
        <v>120</v>
      </c>
      <c r="H14" s="61">
        <v>37</v>
      </c>
      <c r="I14" s="61">
        <v>11.16</v>
      </c>
      <c r="J14" s="61">
        <v>13</v>
      </c>
      <c r="K14" s="61">
        <v>0</v>
      </c>
      <c r="L14" s="61">
        <v>0</v>
      </c>
      <c r="M14" s="61">
        <v>0.88</v>
      </c>
      <c r="N14" s="61">
        <v>0.88</v>
      </c>
      <c r="O14" s="61">
        <v>25</v>
      </c>
      <c r="P14" s="62">
        <f t="shared" si="3"/>
        <v>1</v>
      </c>
      <c r="Q14" s="62">
        <f t="shared" si="4"/>
        <v>27.40909090909091</v>
      </c>
    </row>
    <row r="15" spans="1:17" s="45" customFormat="1" ht="16.5" customHeight="1">
      <c r="A15" s="60" t="s">
        <v>121</v>
      </c>
      <c r="B15" s="61">
        <v>4047.7</v>
      </c>
      <c r="C15" s="61">
        <v>4031.43</v>
      </c>
      <c r="D15" s="61">
        <v>44</v>
      </c>
      <c r="E15" s="62">
        <f t="shared" si="1"/>
        <v>0.9959804333325099</v>
      </c>
      <c r="F15" s="62">
        <f t="shared" si="2"/>
        <v>-0.9890857586513967</v>
      </c>
      <c r="G15" s="60" t="s">
        <v>122</v>
      </c>
      <c r="H15" s="61">
        <v>17.53</v>
      </c>
      <c r="I15" s="61">
        <v>9.34</v>
      </c>
      <c r="J15" s="61">
        <v>18</v>
      </c>
      <c r="K15" s="61">
        <v>14.15</v>
      </c>
      <c r="L15" s="61">
        <v>16</v>
      </c>
      <c r="M15" s="61">
        <v>21.71</v>
      </c>
      <c r="N15" s="61">
        <v>20</v>
      </c>
      <c r="O15" s="61">
        <v>30</v>
      </c>
      <c r="P15" s="62">
        <f t="shared" si="3"/>
        <v>0.9212344541685858</v>
      </c>
      <c r="Q15" s="62">
        <f t="shared" si="4"/>
        <v>0.5</v>
      </c>
    </row>
    <row r="16" spans="1:17" s="45" customFormat="1" ht="16.5" customHeight="1">
      <c r="A16" s="60"/>
      <c r="B16" s="61"/>
      <c r="C16" s="61"/>
      <c r="D16" s="61"/>
      <c r="E16" s="63"/>
      <c r="F16" s="63"/>
      <c r="G16" s="60" t="s">
        <v>123</v>
      </c>
      <c r="H16" s="61">
        <v>52.31</v>
      </c>
      <c r="I16" s="61">
        <v>54.27</v>
      </c>
      <c r="J16" s="61">
        <v>52.31</v>
      </c>
      <c r="K16" s="61">
        <v>3.71</v>
      </c>
      <c r="L16" s="61">
        <v>3.71</v>
      </c>
      <c r="M16" s="61">
        <v>3.71</v>
      </c>
      <c r="N16" s="61">
        <v>3.71</v>
      </c>
      <c r="O16" s="61">
        <v>23.71</v>
      </c>
      <c r="P16" s="62">
        <f t="shared" si="3"/>
        <v>1</v>
      </c>
      <c r="Q16" s="62">
        <f t="shared" si="4"/>
        <v>5.3908355795148255</v>
      </c>
    </row>
    <row r="17" spans="1:17" s="45" customFormat="1" ht="16.5" customHeight="1">
      <c r="A17" s="60"/>
      <c r="B17" s="61"/>
      <c r="C17" s="61"/>
      <c r="D17" s="61"/>
      <c r="E17" s="63"/>
      <c r="F17" s="63"/>
      <c r="G17" s="60" t="s">
        <v>124</v>
      </c>
      <c r="H17" s="61">
        <v>83.5</v>
      </c>
      <c r="I17" s="61">
        <v>49.04</v>
      </c>
      <c r="J17" s="61">
        <v>52.05</v>
      </c>
      <c r="K17" s="61">
        <v>27.59</v>
      </c>
      <c r="L17" s="61">
        <v>41.5</v>
      </c>
      <c r="M17" s="61">
        <v>52.7</v>
      </c>
      <c r="N17" s="61">
        <v>40.92</v>
      </c>
      <c r="O17" s="61">
        <v>23</v>
      </c>
      <c r="P17" s="62">
        <f t="shared" si="3"/>
        <v>0.7764705882352941</v>
      </c>
      <c r="Q17" s="62">
        <f t="shared" si="4"/>
        <v>-0.4379276637341154</v>
      </c>
    </row>
    <row r="18" spans="1:17" s="45" customFormat="1" ht="16.5" customHeight="1">
      <c r="A18" s="57" t="s">
        <v>60</v>
      </c>
      <c r="B18" s="58">
        <v>16852.59</v>
      </c>
      <c r="C18" s="58">
        <v>19038.33</v>
      </c>
      <c r="D18" s="58">
        <f>D19+D23</f>
        <v>18121.4</v>
      </c>
      <c r="E18" s="59">
        <f>C18/B18</f>
        <v>1.1296975717085624</v>
      </c>
      <c r="F18" s="59">
        <f t="shared" si="2"/>
        <v>-0.04816231255577563</v>
      </c>
      <c r="G18" s="60" t="s">
        <v>125</v>
      </c>
      <c r="H18" s="61">
        <v>15</v>
      </c>
      <c r="I18" s="61">
        <v>14.81</v>
      </c>
      <c r="J18" s="61">
        <v>32.16</v>
      </c>
      <c r="K18" s="61">
        <v>24.6</v>
      </c>
      <c r="L18" s="61">
        <v>15.59</v>
      </c>
      <c r="M18" s="61">
        <v>13.59</v>
      </c>
      <c r="N18" s="61">
        <v>8.86</v>
      </c>
      <c r="O18" s="61">
        <v>8.8</v>
      </c>
      <c r="P18" s="62">
        <f t="shared" si="3"/>
        <v>0.6519499632082413</v>
      </c>
      <c r="Q18" s="62">
        <f t="shared" si="4"/>
        <v>-0.006772009029345272</v>
      </c>
    </row>
    <row r="19" spans="1:17" s="45" customFormat="1" ht="16.5" customHeight="1">
      <c r="A19" s="57" t="s">
        <v>62</v>
      </c>
      <c r="B19" s="58">
        <f>B20+B21+B22</f>
        <v>10526.92</v>
      </c>
      <c r="C19" s="58">
        <f>C20+C21+C22</f>
        <v>10526.92</v>
      </c>
      <c r="D19" s="58">
        <f>D20+D21+D22</f>
        <v>12019.65</v>
      </c>
      <c r="E19" s="59">
        <f t="shared" si="1"/>
        <v>1</v>
      </c>
      <c r="F19" s="59">
        <f t="shared" si="2"/>
        <v>0.14180121061051087</v>
      </c>
      <c r="G19" s="60" t="s">
        <v>126</v>
      </c>
      <c r="H19" s="61">
        <v>101</v>
      </c>
      <c r="I19" s="61">
        <v>43.48</v>
      </c>
      <c r="J19" s="61">
        <v>85.88</v>
      </c>
      <c r="K19" s="61">
        <v>149.62</v>
      </c>
      <c r="L19" s="61">
        <v>88.46</v>
      </c>
      <c r="M19" s="61">
        <v>58.36</v>
      </c>
      <c r="N19" s="61">
        <v>43.34</v>
      </c>
      <c r="O19" s="61">
        <v>55.2</v>
      </c>
      <c r="P19" s="62">
        <f t="shared" si="3"/>
        <v>0.7426319396847156</v>
      </c>
      <c r="Q19" s="62">
        <f t="shared" si="4"/>
        <v>0.27365020766035997</v>
      </c>
    </row>
    <row r="20" spans="1:17" s="45" customFormat="1" ht="16.5" customHeight="1">
      <c r="A20" s="60" t="s">
        <v>127</v>
      </c>
      <c r="B20" s="61">
        <v>6956</v>
      </c>
      <c r="C20" s="61">
        <v>6956</v>
      </c>
      <c r="D20" s="61">
        <v>7600</v>
      </c>
      <c r="E20" s="62">
        <f t="shared" si="1"/>
        <v>1</v>
      </c>
      <c r="F20" s="62">
        <f t="shared" si="2"/>
        <v>0.09258194364577332</v>
      </c>
      <c r="G20" s="60" t="s">
        <v>128</v>
      </c>
      <c r="H20" s="61">
        <v>14.13</v>
      </c>
      <c r="I20" s="61">
        <v>22.53</v>
      </c>
      <c r="J20" s="61">
        <v>64.95</v>
      </c>
      <c r="K20" s="61">
        <v>126.38</v>
      </c>
      <c r="L20" s="61">
        <v>156.35</v>
      </c>
      <c r="M20" s="61">
        <v>156.35</v>
      </c>
      <c r="N20" s="61">
        <v>135.07</v>
      </c>
      <c r="O20" s="61">
        <v>33.27</v>
      </c>
      <c r="P20" s="62">
        <f t="shared" si="3"/>
        <v>0.8638951071314359</v>
      </c>
      <c r="Q20" s="62">
        <f t="shared" si="4"/>
        <v>-0.7536832753387133</v>
      </c>
    </row>
    <row r="21" spans="1:17" s="45" customFormat="1" ht="16.5" customHeight="1">
      <c r="A21" s="60" t="s">
        <v>129</v>
      </c>
      <c r="B21" s="61">
        <v>570.92</v>
      </c>
      <c r="C21" s="61">
        <v>570.92</v>
      </c>
      <c r="D21" s="61">
        <v>919.65</v>
      </c>
      <c r="E21" s="62">
        <f t="shared" si="1"/>
        <v>1</v>
      </c>
      <c r="F21" s="62">
        <f t="shared" si="2"/>
        <v>0.6108211308064178</v>
      </c>
      <c r="G21" s="60" t="s">
        <v>130</v>
      </c>
      <c r="H21" s="61"/>
      <c r="I21" s="61"/>
      <c r="J21" s="61">
        <v>0</v>
      </c>
      <c r="K21" s="61">
        <v>0</v>
      </c>
      <c r="L21" s="61">
        <v>0.61</v>
      </c>
      <c r="M21" s="61">
        <v>0.61</v>
      </c>
      <c r="N21" s="61">
        <v>0</v>
      </c>
      <c r="O21" s="61">
        <v>2</v>
      </c>
      <c r="P21" s="61">
        <v>0</v>
      </c>
      <c r="Q21" s="61">
        <v>0</v>
      </c>
    </row>
    <row r="22" spans="1:17" s="45" customFormat="1" ht="16.5" customHeight="1">
      <c r="A22" s="60" t="s">
        <v>131</v>
      </c>
      <c r="B22" s="61">
        <v>3000</v>
      </c>
      <c r="C22" s="61">
        <v>3000</v>
      </c>
      <c r="D22" s="61">
        <v>3500</v>
      </c>
      <c r="E22" s="62">
        <f t="shared" si="1"/>
        <v>1</v>
      </c>
      <c r="F22" s="62">
        <f t="shared" si="2"/>
        <v>0.16666666666666674</v>
      </c>
      <c r="G22" s="60" t="s">
        <v>132</v>
      </c>
      <c r="H22" s="61">
        <v>8</v>
      </c>
      <c r="I22" s="61">
        <v>17.87</v>
      </c>
      <c r="J22" s="61">
        <v>8</v>
      </c>
      <c r="K22" s="61">
        <v>11.96</v>
      </c>
      <c r="L22" s="61">
        <v>17</v>
      </c>
      <c r="M22" s="61">
        <v>27</v>
      </c>
      <c r="N22" s="61">
        <v>20.74</v>
      </c>
      <c r="O22" s="61">
        <v>42.84</v>
      </c>
      <c r="P22" s="62">
        <f t="shared" si="3"/>
        <v>0.7681481481481481</v>
      </c>
      <c r="Q22" s="62">
        <f t="shared" si="4"/>
        <v>1.0655737704918038</v>
      </c>
    </row>
    <row r="23" spans="1:17" s="45" customFormat="1" ht="16.5" customHeight="1">
      <c r="A23" s="57" t="s">
        <v>64</v>
      </c>
      <c r="B23" s="58">
        <v>6325.67</v>
      </c>
      <c r="C23" s="58">
        <v>8511.41</v>
      </c>
      <c r="D23" s="58">
        <v>6101.75</v>
      </c>
      <c r="E23" s="59">
        <f t="shared" si="1"/>
        <v>1.3455349393819152</v>
      </c>
      <c r="F23" s="59">
        <f t="shared" si="2"/>
        <v>-0.283109379057054</v>
      </c>
      <c r="G23" s="60" t="s">
        <v>133</v>
      </c>
      <c r="H23" s="61">
        <v>19.78</v>
      </c>
      <c r="I23" s="61">
        <v>17.78</v>
      </c>
      <c r="J23" s="61">
        <v>13.7</v>
      </c>
      <c r="K23" s="61">
        <v>13.42</v>
      </c>
      <c r="L23" s="61">
        <v>5.1</v>
      </c>
      <c r="M23" s="61">
        <v>5.1</v>
      </c>
      <c r="N23" s="61">
        <v>4.36</v>
      </c>
      <c r="O23" s="61">
        <v>3</v>
      </c>
      <c r="P23" s="62">
        <f t="shared" si="3"/>
        <v>0.8549019607843138</v>
      </c>
      <c r="Q23" s="62">
        <f t="shared" si="4"/>
        <v>-0.3119266055045872</v>
      </c>
    </row>
    <row r="24" spans="1:17" s="45" customFormat="1" ht="16.5" customHeight="1">
      <c r="A24" s="60"/>
      <c r="B24" s="61"/>
      <c r="C24" s="61"/>
      <c r="D24" s="61"/>
      <c r="E24" s="59"/>
      <c r="F24" s="59"/>
      <c r="G24" s="60" t="s">
        <v>134</v>
      </c>
      <c r="H24" s="61">
        <v>70.33</v>
      </c>
      <c r="I24" s="61">
        <v>62.34</v>
      </c>
      <c r="J24" s="61">
        <v>161.21</v>
      </c>
      <c r="K24" s="61">
        <v>63.91</v>
      </c>
      <c r="L24" s="61">
        <v>42.34</v>
      </c>
      <c r="M24" s="61">
        <v>48.45</v>
      </c>
      <c r="N24" s="61">
        <v>43.07</v>
      </c>
      <c r="O24" s="61">
        <v>81.97</v>
      </c>
      <c r="P24" s="62">
        <f t="shared" si="3"/>
        <v>0.8889576883384932</v>
      </c>
      <c r="Q24" s="62">
        <f t="shared" si="4"/>
        <v>0.9031808683538425</v>
      </c>
    </row>
    <row r="25" spans="1:17" s="45" customFormat="1" ht="16.5" customHeight="1">
      <c r="A25" s="57" t="s">
        <v>135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60" t="s">
        <v>136</v>
      </c>
      <c r="H25" s="61">
        <v>45.1</v>
      </c>
      <c r="I25" s="61">
        <v>70.63</v>
      </c>
      <c r="J25" s="61">
        <v>51.3</v>
      </c>
      <c r="K25" s="61">
        <v>76.22</v>
      </c>
      <c r="L25" s="61">
        <v>112.54</v>
      </c>
      <c r="M25" s="61">
        <v>459.3</v>
      </c>
      <c r="N25" s="61">
        <v>427.84</v>
      </c>
      <c r="O25" s="61">
        <v>6.78</v>
      </c>
      <c r="P25" s="62">
        <f t="shared" si="3"/>
        <v>0.9315044633137383</v>
      </c>
      <c r="Q25" s="62">
        <f t="shared" si="4"/>
        <v>-0.9841529543754675</v>
      </c>
    </row>
    <row r="26" spans="1:17" s="45" customFormat="1" ht="16.5" customHeight="1">
      <c r="A26" s="60"/>
      <c r="B26" s="61"/>
      <c r="C26" s="61"/>
      <c r="D26" s="61"/>
      <c r="E26" s="59"/>
      <c r="F26" s="59"/>
      <c r="G26" s="60" t="s">
        <v>137</v>
      </c>
      <c r="H26" s="61">
        <v>410.16</v>
      </c>
      <c r="I26" s="61">
        <v>389.34</v>
      </c>
      <c r="J26" s="61">
        <v>360.97</v>
      </c>
      <c r="K26" s="61">
        <v>291.42</v>
      </c>
      <c r="L26" s="61">
        <v>329.15</v>
      </c>
      <c r="M26" s="61">
        <v>448.93</v>
      </c>
      <c r="N26" s="61">
        <v>381.15</v>
      </c>
      <c r="O26" s="61">
        <v>493.35</v>
      </c>
      <c r="P26" s="62">
        <f t="shared" si="3"/>
        <v>0.8490187779832045</v>
      </c>
      <c r="Q26" s="62">
        <f t="shared" si="4"/>
        <v>0.2943722943722946</v>
      </c>
    </row>
    <row r="27" spans="1:17" s="45" customFormat="1" ht="16.5" customHeight="1">
      <c r="A27" s="57" t="s">
        <v>138</v>
      </c>
      <c r="B27" s="58">
        <v>0</v>
      </c>
      <c r="C27" s="58">
        <v>2574.05</v>
      </c>
      <c r="D27" s="58">
        <v>0</v>
      </c>
      <c r="E27" s="59">
        <v>1</v>
      </c>
      <c r="F27" s="58">
        <v>0</v>
      </c>
      <c r="G27" s="60" t="s">
        <v>139</v>
      </c>
      <c r="H27" s="61">
        <v>30.43</v>
      </c>
      <c r="I27" s="61">
        <v>42.89</v>
      </c>
      <c r="J27" s="61">
        <v>24.17</v>
      </c>
      <c r="K27" s="61">
        <v>21.63</v>
      </c>
      <c r="L27" s="61">
        <v>28.47</v>
      </c>
      <c r="M27" s="61">
        <v>29.32</v>
      </c>
      <c r="N27" s="61">
        <v>27.12</v>
      </c>
      <c r="O27" s="61">
        <v>0</v>
      </c>
      <c r="P27" s="62">
        <f aca="true" t="shared" si="5" ref="P27:P58">N27/M27</f>
        <v>0.9249658935879945</v>
      </c>
      <c r="Q27" s="61">
        <v>0</v>
      </c>
    </row>
    <row r="28" spans="1:17" s="45" customFormat="1" ht="16.5" customHeight="1">
      <c r="A28" s="57"/>
      <c r="B28" s="61"/>
      <c r="C28" s="61"/>
      <c r="D28" s="61"/>
      <c r="E28" s="59"/>
      <c r="F28" s="59"/>
      <c r="G28" s="60" t="s">
        <v>140</v>
      </c>
      <c r="H28" s="61"/>
      <c r="I28" s="61"/>
      <c r="J28" s="61">
        <v>0</v>
      </c>
      <c r="K28" s="61">
        <v>5</v>
      </c>
      <c r="L28" s="61">
        <v>0</v>
      </c>
      <c r="M28" s="61">
        <v>0.5</v>
      </c>
      <c r="N28" s="61">
        <v>0.5</v>
      </c>
      <c r="O28" s="61">
        <v>0</v>
      </c>
      <c r="P28" s="62">
        <f t="shared" si="5"/>
        <v>1</v>
      </c>
      <c r="Q28" s="61">
        <v>0</v>
      </c>
    </row>
    <row r="29" spans="1:17" s="45" customFormat="1" ht="16.5" customHeight="1">
      <c r="A29" s="57" t="s">
        <v>141</v>
      </c>
      <c r="B29" s="58">
        <v>13983.07</v>
      </c>
      <c r="C29" s="58">
        <v>13983.07</v>
      </c>
      <c r="D29" s="58">
        <v>13182.27</v>
      </c>
      <c r="E29" s="59">
        <f>C29/B29</f>
        <v>1</v>
      </c>
      <c r="F29" s="59">
        <f>D29/C29-1</f>
        <v>-0.05726925489180845</v>
      </c>
      <c r="G29" s="60" t="s">
        <v>142</v>
      </c>
      <c r="H29" s="61">
        <v>2.5</v>
      </c>
      <c r="I29" s="61">
        <v>0.72</v>
      </c>
      <c r="J29" s="61">
        <v>2.5</v>
      </c>
      <c r="K29" s="61">
        <v>0.5</v>
      </c>
      <c r="L29" s="61">
        <v>0.5</v>
      </c>
      <c r="M29" s="61">
        <v>1.16</v>
      </c>
      <c r="N29" s="61">
        <v>1.01</v>
      </c>
      <c r="O29" s="61">
        <v>0</v>
      </c>
      <c r="P29" s="62">
        <f t="shared" si="5"/>
        <v>0.8706896551724138</v>
      </c>
      <c r="Q29" s="61">
        <v>0</v>
      </c>
    </row>
    <row r="30" spans="1:17" s="45" customFormat="1" ht="16.5" customHeight="1">
      <c r="A30" s="60"/>
      <c r="B30" s="64"/>
      <c r="C30" s="64"/>
      <c r="D30" s="64"/>
      <c r="E30" s="64"/>
      <c r="F30" s="64"/>
      <c r="G30" s="60" t="s">
        <v>143</v>
      </c>
      <c r="H30" s="61">
        <v>6.34</v>
      </c>
      <c r="I30" s="61">
        <v>0</v>
      </c>
      <c r="J30" s="61">
        <v>7.14</v>
      </c>
      <c r="K30" s="61">
        <v>0</v>
      </c>
      <c r="L30" s="61">
        <v>0.2</v>
      </c>
      <c r="M30" s="61">
        <v>0.2</v>
      </c>
      <c r="N30" s="61">
        <v>0</v>
      </c>
      <c r="O30" s="61">
        <v>0</v>
      </c>
      <c r="P30" s="61">
        <v>0</v>
      </c>
      <c r="Q30" s="61">
        <v>0</v>
      </c>
    </row>
    <row r="31" spans="1:17" s="45" customFormat="1" ht="16.5" customHeight="1">
      <c r="A31" s="60"/>
      <c r="B31" s="64"/>
      <c r="C31" s="64"/>
      <c r="D31" s="64"/>
      <c r="E31" s="64"/>
      <c r="F31" s="64"/>
      <c r="G31" s="60" t="s">
        <v>144</v>
      </c>
      <c r="H31" s="61">
        <v>0</v>
      </c>
      <c r="I31" s="61">
        <v>3.58</v>
      </c>
      <c r="J31" s="61">
        <v>80.63</v>
      </c>
      <c r="K31" s="61">
        <v>48.19</v>
      </c>
      <c r="L31" s="61">
        <v>40.52</v>
      </c>
      <c r="M31" s="61">
        <v>65.07</v>
      </c>
      <c r="N31" s="61">
        <v>61.55</v>
      </c>
      <c r="O31" s="61">
        <v>55.35</v>
      </c>
      <c r="P31" s="62">
        <f t="shared" si="5"/>
        <v>0.9459044106347011</v>
      </c>
      <c r="Q31" s="62">
        <f aca="true" t="shared" si="6" ref="Q27:Q58">O31/N31-1</f>
        <v>-0.10073111291632808</v>
      </c>
    </row>
    <row r="32" spans="1:17" s="45" customFormat="1" ht="16.5" customHeight="1">
      <c r="A32" s="65"/>
      <c r="B32" s="65"/>
      <c r="C32" s="64"/>
      <c r="D32" s="65"/>
      <c r="E32" s="65"/>
      <c r="F32" s="65"/>
      <c r="G32" s="57" t="s">
        <v>44</v>
      </c>
      <c r="H32" s="58">
        <v>3336.4</v>
      </c>
      <c r="I32" s="58">
        <v>3062.31</v>
      </c>
      <c r="J32" s="58">
        <v>3281.68</v>
      </c>
      <c r="K32" s="58">
        <v>3419.39</v>
      </c>
      <c r="L32" s="58">
        <f>SUM(L33:L39)</f>
        <v>3758.4700000000003</v>
      </c>
      <c r="M32" s="58">
        <v>3971.13</v>
      </c>
      <c r="N32" s="58">
        <v>3676.02</v>
      </c>
      <c r="O32" s="58">
        <f>SUM(O33:O39)</f>
        <v>4015.65</v>
      </c>
      <c r="P32" s="59">
        <f t="shared" si="5"/>
        <v>0.9256861397133813</v>
      </c>
      <c r="Q32" s="59">
        <f t="shared" si="6"/>
        <v>0.09239068340215773</v>
      </c>
    </row>
    <row r="33" spans="1:17" s="45" customFormat="1" ht="16.5" customHeight="1">
      <c r="A33" s="64"/>
      <c r="B33" s="64"/>
      <c r="C33" s="64"/>
      <c r="D33" s="64"/>
      <c r="E33" s="64"/>
      <c r="F33" s="64"/>
      <c r="G33" s="60" t="s">
        <v>145</v>
      </c>
      <c r="H33" s="61">
        <v>452.27</v>
      </c>
      <c r="I33" s="61">
        <v>472.4</v>
      </c>
      <c r="J33" s="61">
        <v>430.3</v>
      </c>
      <c r="K33" s="61">
        <v>431.81</v>
      </c>
      <c r="L33" s="61">
        <v>444.22</v>
      </c>
      <c r="M33" s="61">
        <v>486.6</v>
      </c>
      <c r="N33" s="61">
        <v>464.11</v>
      </c>
      <c r="O33" s="61">
        <v>434.4</v>
      </c>
      <c r="P33" s="62">
        <f t="shared" si="5"/>
        <v>0.9537813399095766</v>
      </c>
      <c r="Q33" s="62">
        <f t="shared" si="6"/>
        <v>-0.06401499644480846</v>
      </c>
    </row>
    <row r="34" spans="1:17" s="44" customFormat="1" ht="16.5" customHeight="1">
      <c r="A34" s="64"/>
      <c r="B34" s="64"/>
      <c r="C34" s="64"/>
      <c r="D34" s="64"/>
      <c r="E34" s="64"/>
      <c r="F34" s="64"/>
      <c r="G34" s="60" t="s">
        <v>146</v>
      </c>
      <c r="H34" s="61">
        <v>2619.3</v>
      </c>
      <c r="I34" s="61">
        <v>2405.42</v>
      </c>
      <c r="J34" s="61">
        <v>2629.58</v>
      </c>
      <c r="K34" s="61">
        <v>2811.83</v>
      </c>
      <c r="L34" s="61">
        <v>3101.54</v>
      </c>
      <c r="M34" s="61">
        <v>3196.24</v>
      </c>
      <c r="N34" s="61">
        <v>2983.83</v>
      </c>
      <c r="O34" s="61">
        <v>3307.19</v>
      </c>
      <c r="P34" s="62">
        <f t="shared" si="5"/>
        <v>0.9335437889520186</v>
      </c>
      <c r="Q34" s="62">
        <f t="shared" si="6"/>
        <v>0.10837078519888865</v>
      </c>
    </row>
    <row r="35" spans="1:17" s="45" customFormat="1" ht="16.5" customHeight="1">
      <c r="A35" s="64"/>
      <c r="B35" s="64"/>
      <c r="C35" s="64"/>
      <c r="D35" s="64"/>
      <c r="E35" s="64"/>
      <c r="F35" s="64"/>
      <c r="G35" s="60" t="s">
        <v>147</v>
      </c>
      <c r="H35" s="61">
        <v>0</v>
      </c>
      <c r="I35" s="61">
        <v>0</v>
      </c>
      <c r="J35" s="61">
        <v>0</v>
      </c>
      <c r="K35" s="61">
        <v>0</v>
      </c>
      <c r="L35" s="61">
        <v>21.65</v>
      </c>
      <c r="M35" s="61">
        <v>20.45</v>
      </c>
      <c r="N35" s="61">
        <v>11.91</v>
      </c>
      <c r="O35" s="61">
        <v>21.04</v>
      </c>
      <c r="P35" s="62">
        <f t="shared" si="5"/>
        <v>0.5823960880195599</v>
      </c>
      <c r="Q35" s="62">
        <f t="shared" si="6"/>
        <v>0.7665827036104114</v>
      </c>
    </row>
    <row r="36" spans="1:17" s="45" customFormat="1" ht="16.5" customHeight="1">
      <c r="A36" s="64"/>
      <c r="B36" s="64"/>
      <c r="C36" s="64"/>
      <c r="D36" s="64"/>
      <c r="E36" s="64"/>
      <c r="F36" s="64"/>
      <c r="G36" s="60" t="s">
        <v>148</v>
      </c>
      <c r="H36" s="61">
        <v>59</v>
      </c>
      <c r="I36" s="61">
        <v>39.22</v>
      </c>
      <c r="J36" s="61">
        <v>56.94</v>
      </c>
      <c r="K36" s="61">
        <v>37.92</v>
      </c>
      <c r="L36" s="61">
        <v>51.54</v>
      </c>
      <c r="M36" s="61">
        <v>55.29</v>
      </c>
      <c r="N36" s="61">
        <v>51.28</v>
      </c>
      <c r="O36" s="61">
        <v>85.39</v>
      </c>
      <c r="P36" s="62">
        <f t="shared" si="5"/>
        <v>0.9274733224814614</v>
      </c>
      <c r="Q36" s="62">
        <f t="shared" si="6"/>
        <v>0.6651716068642746</v>
      </c>
    </row>
    <row r="37" spans="1:17" s="45" customFormat="1" ht="16.5" customHeight="1">
      <c r="A37" s="64"/>
      <c r="B37" s="64"/>
      <c r="C37" s="64"/>
      <c r="D37" s="64"/>
      <c r="E37" s="64"/>
      <c r="F37" s="64"/>
      <c r="G37" s="60" t="s">
        <v>149</v>
      </c>
      <c r="H37" s="61">
        <v>1</v>
      </c>
      <c r="I37" s="61">
        <v>12.95</v>
      </c>
      <c r="J37" s="61">
        <v>24</v>
      </c>
      <c r="K37" s="61">
        <v>12.48</v>
      </c>
      <c r="L37" s="61">
        <v>16.16</v>
      </c>
      <c r="M37" s="61">
        <v>14.69</v>
      </c>
      <c r="N37" s="61">
        <v>14.54</v>
      </c>
      <c r="O37" s="61">
        <v>22.27</v>
      </c>
      <c r="P37" s="62">
        <f t="shared" si="5"/>
        <v>0.989788972089857</v>
      </c>
      <c r="Q37" s="62">
        <f t="shared" si="6"/>
        <v>0.5316368638239339</v>
      </c>
    </row>
    <row r="38" spans="1:17" s="45" customFormat="1" ht="16.5" customHeight="1">
      <c r="A38" s="64"/>
      <c r="B38" s="64"/>
      <c r="C38" s="64"/>
      <c r="D38" s="64"/>
      <c r="E38" s="64"/>
      <c r="F38" s="64"/>
      <c r="G38" s="60" t="s">
        <v>150</v>
      </c>
      <c r="H38" s="61">
        <v>6.4</v>
      </c>
      <c r="I38" s="61">
        <v>11.2</v>
      </c>
      <c r="J38" s="61">
        <v>4</v>
      </c>
      <c r="K38" s="61">
        <v>2.77</v>
      </c>
      <c r="L38" s="61">
        <v>4</v>
      </c>
      <c r="M38" s="61">
        <v>2</v>
      </c>
      <c r="N38" s="61">
        <v>0.87</v>
      </c>
      <c r="O38" s="61">
        <v>1.5</v>
      </c>
      <c r="P38" s="62">
        <f t="shared" si="5"/>
        <v>0.435</v>
      </c>
      <c r="Q38" s="62">
        <f t="shared" si="6"/>
        <v>0.7241379310344829</v>
      </c>
    </row>
    <row r="39" spans="1:17" s="45" customFormat="1" ht="16.5" customHeight="1">
      <c r="A39" s="64"/>
      <c r="B39" s="64"/>
      <c r="C39" s="64"/>
      <c r="D39" s="64"/>
      <c r="E39" s="64"/>
      <c r="F39" s="64"/>
      <c r="G39" s="60" t="s">
        <v>151</v>
      </c>
      <c r="H39" s="61">
        <v>198.44</v>
      </c>
      <c r="I39" s="61">
        <v>121.12</v>
      </c>
      <c r="J39" s="61">
        <v>136.86</v>
      </c>
      <c r="K39" s="61">
        <v>122.58</v>
      </c>
      <c r="L39" s="61">
        <v>119.36</v>
      </c>
      <c r="M39" s="61">
        <v>195.86</v>
      </c>
      <c r="N39" s="61">
        <v>149.47</v>
      </c>
      <c r="O39" s="61">
        <v>143.86</v>
      </c>
      <c r="P39" s="62">
        <f t="shared" si="5"/>
        <v>0.7631471459205554</v>
      </c>
      <c r="Q39" s="62">
        <f t="shared" si="6"/>
        <v>-0.03753261524051643</v>
      </c>
    </row>
    <row r="40" spans="1:17" s="45" customFormat="1" ht="16.5" customHeight="1">
      <c r="A40" s="65"/>
      <c r="B40" s="65"/>
      <c r="C40" s="65"/>
      <c r="D40" s="65"/>
      <c r="E40" s="65"/>
      <c r="F40" s="65"/>
      <c r="G40" s="57" t="s">
        <v>46</v>
      </c>
      <c r="H40" s="58">
        <v>4224.03</v>
      </c>
      <c r="I40" s="58">
        <v>4311.19</v>
      </c>
      <c r="J40" s="58">
        <v>4719.52</v>
      </c>
      <c r="K40" s="58">
        <v>4554.7</v>
      </c>
      <c r="L40" s="58">
        <f>SUM(L41:L48)</f>
        <v>4933.570000000001</v>
      </c>
      <c r="M40" s="58">
        <v>4968.56</v>
      </c>
      <c r="N40" s="58">
        <v>5003.94</v>
      </c>
      <c r="O40" s="58">
        <f>SUM(O41:O48)</f>
        <v>5463.8099999999995</v>
      </c>
      <c r="P40" s="59">
        <f t="shared" si="5"/>
        <v>1.007120775435941</v>
      </c>
      <c r="Q40" s="59">
        <f t="shared" si="6"/>
        <v>0.09190158155373562</v>
      </c>
    </row>
    <row r="41" spans="1:17" s="45" customFormat="1" ht="16.5" customHeight="1">
      <c r="A41" s="64"/>
      <c r="B41" s="64"/>
      <c r="C41" s="64"/>
      <c r="D41" s="64"/>
      <c r="E41" s="64"/>
      <c r="F41" s="64"/>
      <c r="G41" s="60" t="s">
        <v>152</v>
      </c>
      <c r="H41" s="61">
        <v>321.92</v>
      </c>
      <c r="I41" s="61">
        <v>212.74</v>
      </c>
      <c r="J41" s="61">
        <v>216.86</v>
      </c>
      <c r="K41" s="61">
        <v>335</v>
      </c>
      <c r="L41" s="61">
        <v>330.1</v>
      </c>
      <c r="M41" s="61">
        <v>330.1</v>
      </c>
      <c r="N41" s="61">
        <v>442.55</v>
      </c>
      <c r="O41" s="61">
        <v>255.65</v>
      </c>
      <c r="P41" s="62">
        <f t="shared" si="5"/>
        <v>1.340654347167525</v>
      </c>
      <c r="Q41" s="62">
        <f t="shared" si="6"/>
        <v>-0.42232516099875717</v>
      </c>
    </row>
    <row r="42" spans="1:17" s="44" customFormat="1" ht="16.5" customHeight="1">
      <c r="A42" s="64"/>
      <c r="B42" s="64"/>
      <c r="C42" s="64"/>
      <c r="D42" s="64"/>
      <c r="E42" s="64"/>
      <c r="F42" s="64"/>
      <c r="G42" s="60" t="s">
        <v>153</v>
      </c>
      <c r="H42" s="61">
        <v>3453.48</v>
      </c>
      <c r="I42" s="61">
        <v>3821.32</v>
      </c>
      <c r="J42" s="61">
        <v>4149.76</v>
      </c>
      <c r="K42" s="61">
        <v>3994.87</v>
      </c>
      <c r="L42" s="61">
        <v>4461.31</v>
      </c>
      <c r="M42" s="61">
        <v>4576.79</v>
      </c>
      <c r="N42" s="61">
        <v>4504.23</v>
      </c>
      <c r="O42" s="61">
        <v>5160.66</v>
      </c>
      <c r="P42" s="62">
        <f t="shared" si="5"/>
        <v>0.9841460936595299</v>
      </c>
      <c r="Q42" s="62">
        <f t="shared" si="6"/>
        <v>0.14573634117263112</v>
      </c>
    </row>
    <row r="43" spans="1:17" s="45" customFormat="1" ht="16.5" customHeight="1">
      <c r="A43" s="64"/>
      <c r="B43" s="64"/>
      <c r="C43" s="64"/>
      <c r="D43" s="64"/>
      <c r="E43" s="64"/>
      <c r="F43" s="64"/>
      <c r="G43" s="60" t="s">
        <v>154</v>
      </c>
      <c r="H43" s="61">
        <v>256.5</v>
      </c>
      <c r="I43" s="61">
        <v>223.47</v>
      </c>
      <c r="J43" s="61">
        <v>247</v>
      </c>
      <c r="K43" s="61">
        <v>99.68</v>
      </c>
      <c r="L43" s="61">
        <v>100</v>
      </c>
      <c r="M43" s="61">
        <v>43.86</v>
      </c>
      <c r="N43" s="61">
        <v>43.84</v>
      </c>
      <c r="O43" s="61">
        <v>41.4</v>
      </c>
      <c r="P43" s="62">
        <f t="shared" si="5"/>
        <v>0.9995440036479709</v>
      </c>
      <c r="Q43" s="62">
        <f t="shared" si="6"/>
        <v>-0.05565693430656948</v>
      </c>
    </row>
    <row r="44" spans="1:17" s="45" customFormat="1" ht="16.5" customHeight="1">
      <c r="A44" s="64"/>
      <c r="B44" s="64"/>
      <c r="C44" s="64"/>
      <c r="D44" s="64"/>
      <c r="E44" s="64"/>
      <c r="F44" s="64"/>
      <c r="G44" s="60" t="s">
        <v>155</v>
      </c>
      <c r="H44" s="61">
        <v>0.5</v>
      </c>
      <c r="I44" s="61">
        <v>0.19</v>
      </c>
      <c r="J44" s="61">
        <v>0</v>
      </c>
      <c r="K44" s="61">
        <v>1</v>
      </c>
      <c r="L44" s="61">
        <v>0</v>
      </c>
      <c r="M44" s="61">
        <v>0</v>
      </c>
      <c r="N44" s="61">
        <v>0</v>
      </c>
      <c r="O44" s="61">
        <v>0</v>
      </c>
      <c r="P44" s="58">
        <v>0</v>
      </c>
      <c r="Q44" s="58">
        <v>0</v>
      </c>
    </row>
    <row r="45" spans="1:17" s="45" customFormat="1" ht="16.5" customHeight="1">
      <c r="A45" s="64"/>
      <c r="B45" s="64"/>
      <c r="C45" s="64"/>
      <c r="D45" s="64"/>
      <c r="E45" s="64"/>
      <c r="F45" s="64"/>
      <c r="G45" s="60" t="s">
        <v>156</v>
      </c>
      <c r="H45" s="61">
        <v>0</v>
      </c>
      <c r="I45" s="61">
        <v>1.44</v>
      </c>
      <c r="J45" s="61">
        <v>6</v>
      </c>
      <c r="K45" s="61">
        <v>7.98</v>
      </c>
      <c r="L45" s="61">
        <v>1.5</v>
      </c>
      <c r="M45" s="61">
        <v>1.5</v>
      </c>
      <c r="N45" s="61">
        <v>0</v>
      </c>
      <c r="O45" s="61">
        <v>6.1</v>
      </c>
      <c r="P45" s="62">
        <f t="shared" si="5"/>
        <v>0</v>
      </c>
      <c r="Q45" s="58">
        <v>0</v>
      </c>
    </row>
    <row r="46" spans="1:17" s="45" customFormat="1" ht="16.5" customHeight="1">
      <c r="A46" s="64"/>
      <c r="B46" s="64"/>
      <c r="C46" s="64"/>
      <c r="D46" s="64"/>
      <c r="E46" s="64"/>
      <c r="F46" s="64"/>
      <c r="G46" s="60" t="s">
        <v>157</v>
      </c>
      <c r="H46" s="61">
        <v>55</v>
      </c>
      <c r="I46" s="61">
        <v>2.28</v>
      </c>
      <c r="J46" s="61">
        <v>15</v>
      </c>
      <c r="K46" s="61">
        <v>7.77</v>
      </c>
      <c r="L46" s="61">
        <v>1</v>
      </c>
      <c r="M46" s="61">
        <v>1</v>
      </c>
      <c r="N46" s="61">
        <v>1</v>
      </c>
      <c r="O46" s="61">
        <v>0</v>
      </c>
      <c r="P46" s="62">
        <f t="shared" si="5"/>
        <v>1</v>
      </c>
      <c r="Q46" s="62">
        <f t="shared" si="6"/>
        <v>-1</v>
      </c>
    </row>
    <row r="47" spans="1:17" s="45" customFormat="1" ht="16.5" customHeight="1">
      <c r="A47" s="64"/>
      <c r="B47" s="64"/>
      <c r="C47" s="64"/>
      <c r="D47" s="64"/>
      <c r="E47" s="64"/>
      <c r="F47" s="64"/>
      <c r="G47" s="60" t="s">
        <v>158</v>
      </c>
      <c r="H47" s="61">
        <v>135.13</v>
      </c>
      <c r="I47" s="61">
        <v>46.23</v>
      </c>
      <c r="J47" s="61">
        <v>0</v>
      </c>
      <c r="K47" s="61">
        <v>24.61</v>
      </c>
      <c r="L47" s="61">
        <v>26.65</v>
      </c>
      <c r="M47" s="61">
        <v>0.3</v>
      </c>
      <c r="N47" s="61">
        <v>0</v>
      </c>
      <c r="O47" s="61">
        <v>0</v>
      </c>
      <c r="P47" s="62">
        <f t="shared" si="5"/>
        <v>0</v>
      </c>
      <c r="Q47" s="58">
        <v>0</v>
      </c>
    </row>
    <row r="48" spans="1:17" s="45" customFormat="1" ht="16.5" customHeight="1">
      <c r="A48" s="64"/>
      <c r="B48" s="64"/>
      <c r="C48" s="64"/>
      <c r="D48" s="64"/>
      <c r="E48" s="64"/>
      <c r="F48" s="64"/>
      <c r="G48" s="66" t="s">
        <v>159</v>
      </c>
      <c r="H48" s="61">
        <v>1.5</v>
      </c>
      <c r="I48" s="61">
        <v>3.52</v>
      </c>
      <c r="J48" s="61">
        <v>84.9</v>
      </c>
      <c r="K48" s="61">
        <v>83.79</v>
      </c>
      <c r="L48" s="61">
        <v>13.01</v>
      </c>
      <c r="M48" s="61">
        <v>15.01</v>
      </c>
      <c r="N48" s="61">
        <v>12.3</v>
      </c>
      <c r="O48" s="61">
        <v>0</v>
      </c>
      <c r="P48" s="62">
        <f t="shared" si="5"/>
        <v>0.8194536975349768</v>
      </c>
      <c r="Q48" s="62">
        <f t="shared" si="6"/>
        <v>-1</v>
      </c>
    </row>
    <row r="49" spans="1:17" s="45" customFormat="1" ht="16.5" customHeight="1">
      <c r="A49" s="65"/>
      <c r="B49" s="65"/>
      <c r="C49" s="65"/>
      <c r="D49" s="65"/>
      <c r="E49" s="65"/>
      <c r="F49" s="65"/>
      <c r="G49" s="57" t="s">
        <v>160</v>
      </c>
      <c r="H49" s="58">
        <v>22.5</v>
      </c>
      <c r="I49" s="58">
        <v>569.68</v>
      </c>
      <c r="J49" s="58">
        <v>104.53</v>
      </c>
      <c r="K49" s="58">
        <v>742.64</v>
      </c>
      <c r="L49" s="58">
        <f>SUM(L50:L54)</f>
        <v>606.6500000000001</v>
      </c>
      <c r="M49" s="58">
        <v>1096.04</v>
      </c>
      <c r="N49" s="58">
        <v>1008.54</v>
      </c>
      <c r="O49" s="58">
        <v>608.0589</v>
      </c>
      <c r="P49" s="59">
        <f t="shared" si="5"/>
        <v>0.9201671471844093</v>
      </c>
      <c r="Q49" s="59">
        <f t="shared" si="6"/>
        <v>-0.3970899518115295</v>
      </c>
    </row>
    <row r="50" spans="1:17" s="45" customFormat="1" ht="16.5" customHeight="1">
      <c r="A50" s="65"/>
      <c r="B50" s="65"/>
      <c r="C50" s="65"/>
      <c r="D50" s="65"/>
      <c r="E50" s="65"/>
      <c r="F50" s="65"/>
      <c r="G50" s="60" t="s">
        <v>161</v>
      </c>
      <c r="H50" s="61">
        <v>0</v>
      </c>
      <c r="I50" s="58">
        <v>0</v>
      </c>
      <c r="J50" s="61">
        <v>0.2</v>
      </c>
      <c r="K50" s="61">
        <v>2.2</v>
      </c>
      <c r="L50" s="61">
        <v>4.05</v>
      </c>
      <c r="M50" s="61">
        <v>23.58</v>
      </c>
      <c r="N50" s="61">
        <v>5.18</v>
      </c>
      <c r="O50" s="61">
        <v>27.32</v>
      </c>
      <c r="P50" s="62">
        <f t="shared" si="5"/>
        <v>0.2196776929601357</v>
      </c>
      <c r="Q50" s="62">
        <f t="shared" si="6"/>
        <v>4.274131274131275</v>
      </c>
    </row>
    <row r="51" spans="1:17" s="44" customFormat="1" ht="16.5" customHeight="1">
      <c r="A51" s="64"/>
      <c r="B51" s="64"/>
      <c r="C51" s="64"/>
      <c r="D51" s="64"/>
      <c r="E51" s="64"/>
      <c r="F51" s="64"/>
      <c r="G51" s="60" t="s">
        <v>162</v>
      </c>
      <c r="H51" s="61">
        <v>5</v>
      </c>
      <c r="I51" s="61">
        <v>553.49</v>
      </c>
      <c r="J51" s="61">
        <v>94.33</v>
      </c>
      <c r="K51" s="61">
        <v>226.7</v>
      </c>
      <c r="L51" s="61">
        <v>126.94</v>
      </c>
      <c r="M51" s="61">
        <v>49.61</v>
      </c>
      <c r="N51" s="61">
        <v>119.67</v>
      </c>
      <c r="O51" s="61">
        <v>0</v>
      </c>
      <c r="P51" s="62">
        <f t="shared" si="5"/>
        <v>2.4122152791775853</v>
      </c>
      <c r="Q51" s="62">
        <f t="shared" si="6"/>
        <v>-1</v>
      </c>
    </row>
    <row r="52" spans="1:17" s="44" customFormat="1" ht="16.5" customHeight="1">
      <c r="A52" s="64"/>
      <c r="B52" s="64"/>
      <c r="C52" s="64"/>
      <c r="D52" s="64"/>
      <c r="E52" s="64"/>
      <c r="F52" s="64"/>
      <c r="G52" s="60" t="s">
        <v>163</v>
      </c>
      <c r="H52" s="61">
        <v>0</v>
      </c>
      <c r="I52" s="58">
        <v>0</v>
      </c>
      <c r="J52" s="61">
        <v>2</v>
      </c>
      <c r="K52" s="61">
        <v>1.5</v>
      </c>
      <c r="L52" s="61">
        <v>0</v>
      </c>
      <c r="M52" s="61">
        <v>2</v>
      </c>
      <c r="N52" s="61">
        <v>1.99</v>
      </c>
      <c r="O52" s="61">
        <v>0</v>
      </c>
      <c r="P52" s="62">
        <f t="shared" si="5"/>
        <v>0.995</v>
      </c>
      <c r="Q52" s="62">
        <f t="shared" si="6"/>
        <v>-1</v>
      </c>
    </row>
    <row r="53" spans="1:17" s="45" customFormat="1" ht="16.5" customHeight="1">
      <c r="A53" s="64"/>
      <c r="B53" s="64"/>
      <c r="C53" s="64"/>
      <c r="D53" s="64"/>
      <c r="E53" s="64"/>
      <c r="F53" s="64"/>
      <c r="G53" s="60" t="s">
        <v>164</v>
      </c>
      <c r="H53" s="61"/>
      <c r="I53" s="58"/>
      <c r="J53" s="61">
        <v>0</v>
      </c>
      <c r="K53" s="61">
        <v>5.61</v>
      </c>
      <c r="L53" s="61">
        <v>0</v>
      </c>
      <c r="M53" s="61">
        <v>0</v>
      </c>
      <c r="N53" s="61">
        <v>0</v>
      </c>
      <c r="O53" s="61">
        <v>0</v>
      </c>
      <c r="P53" s="58">
        <v>0</v>
      </c>
      <c r="Q53" s="58">
        <v>0</v>
      </c>
    </row>
    <row r="54" spans="1:17" s="45" customFormat="1" ht="16.5" customHeight="1">
      <c r="A54" s="64"/>
      <c r="B54" s="64"/>
      <c r="C54" s="64"/>
      <c r="D54" s="64"/>
      <c r="E54" s="64"/>
      <c r="F54" s="64"/>
      <c r="G54" s="60" t="s">
        <v>165</v>
      </c>
      <c r="H54" s="61">
        <v>17.5</v>
      </c>
      <c r="I54" s="61">
        <v>16.19</v>
      </c>
      <c r="J54" s="61">
        <v>8</v>
      </c>
      <c r="K54" s="61">
        <v>506.63</v>
      </c>
      <c r="L54" s="61">
        <v>475.66</v>
      </c>
      <c r="M54" s="61">
        <v>1020.85</v>
      </c>
      <c r="N54" s="61">
        <v>881.69</v>
      </c>
      <c r="O54" s="61">
        <v>580.74</v>
      </c>
      <c r="P54" s="62">
        <f t="shared" si="5"/>
        <v>0.8636822255963168</v>
      </c>
      <c r="Q54" s="62">
        <f t="shared" si="6"/>
        <v>-0.34133312161870955</v>
      </c>
    </row>
    <row r="55" spans="1:17" s="45" customFormat="1" ht="16.5" customHeight="1">
      <c r="A55" s="65"/>
      <c r="B55" s="65"/>
      <c r="C55" s="65"/>
      <c r="D55" s="65"/>
      <c r="E55" s="65"/>
      <c r="F55" s="65"/>
      <c r="G55" s="57" t="s">
        <v>166</v>
      </c>
      <c r="H55" s="58">
        <v>181.75</v>
      </c>
      <c r="I55" s="58">
        <v>279.6</v>
      </c>
      <c r="J55" s="58">
        <v>187.86</v>
      </c>
      <c r="K55" s="58">
        <v>310.4</v>
      </c>
      <c r="L55" s="58">
        <f>SUM(L56:L60)</f>
        <v>274.07</v>
      </c>
      <c r="M55" s="58">
        <v>433</v>
      </c>
      <c r="N55" s="58">
        <v>407.48</v>
      </c>
      <c r="O55" s="58">
        <f>SUM(O56:O60)</f>
        <v>290.99999999999994</v>
      </c>
      <c r="P55" s="59">
        <f t="shared" si="5"/>
        <v>0.9410623556581986</v>
      </c>
      <c r="Q55" s="59">
        <f t="shared" si="6"/>
        <v>-0.28585452046726234</v>
      </c>
    </row>
    <row r="56" spans="1:17" s="45" customFormat="1" ht="16.5" customHeight="1">
      <c r="A56" s="64"/>
      <c r="B56" s="64"/>
      <c r="C56" s="64"/>
      <c r="D56" s="64"/>
      <c r="E56" s="64"/>
      <c r="F56" s="64"/>
      <c r="G56" s="60" t="s">
        <v>167</v>
      </c>
      <c r="H56" s="61">
        <v>98.8</v>
      </c>
      <c r="I56" s="61">
        <v>119.78</v>
      </c>
      <c r="J56" s="61">
        <v>101.23</v>
      </c>
      <c r="K56" s="61">
        <v>212.39</v>
      </c>
      <c r="L56" s="61">
        <v>197.57</v>
      </c>
      <c r="M56" s="61">
        <v>344.54</v>
      </c>
      <c r="N56" s="61">
        <v>352.27</v>
      </c>
      <c r="O56" s="61">
        <v>234.1</v>
      </c>
      <c r="P56" s="62">
        <f t="shared" si="5"/>
        <v>1.0224357113832936</v>
      </c>
      <c r="Q56" s="62">
        <f t="shared" si="6"/>
        <v>-0.33545291963550683</v>
      </c>
    </row>
    <row r="57" spans="1:17" s="44" customFormat="1" ht="16.5" customHeight="1">
      <c r="A57" s="64"/>
      <c r="B57" s="64"/>
      <c r="C57" s="64"/>
      <c r="D57" s="64"/>
      <c r="E57" s="64"/>
      <c r="F57" s="64"/>
      <c r="G57" s="60" t="s">
        <v>168</v>
      </c>
      <c r="H57" s="61">
        <v>0</v>
      </c>
      <c r="I57" s="61">
        <v>0</v>
      </c>
      <c r="J57" s="61">
        <v>0.2</v>
      </c>
      <c r="K57" s="61">
        <v>0.04</v>
      </c>
      <c r="L57" s="61">
        <v>0.2</v>
      </c>
      <c r="M57" s="61">
        <v>0.2</v>
      </c>
      <c r="N57" s="61">
        <v>0.2</v>
      </c>
      <c r="O57" s="61">
        <v>0.2</v>
      </c>
      <c r="P57" s="62">
        <f t="shared" si="5"/>
        <v>1</v>
      </c>
      <c r="Q57" s="62">
        <f t="shared" si="6"/>
        <v>0</v>
      </c>
    </row>
    <row r="58" spans="1:17" s="45" customFormat="1" ht="16.5" customHeight="1">
      <c r="A58" s="64"/>
      <c r="B58" s="64"/>
      <c r="C58" s="64"/>
      <c r="D58" s="64"/>
      <c r="E58" s="64"/>
      <c r="F58" s="64"/>
      <c r="G58" s="60" t="s">
        <v>169</v>
      </c>
      <c r="H58" s="61">
        <v>60.35</v>
      </c>
      <c r="I58" s="61">
        <v>87.15</v>
      </c>
      <c r="J58" s="61">
        <v>59.15</v>
      </c>
      <c r="K58" s="61">
        <v>60.37</v>
      </c>
      <c r="L58" s="61">
        <v>57.03</v>
      </c>
      <c r="M58" s="61">
        <v>64.19</v>
      </c>
      <c r="N58" s="61">
        <v>36.41</v>
      </c>
      <c r="O58" s="61">
        <v>36.23</v>
      </c>
      <c r="P58" s="62">
        <f t="shared" si="5"/>
        <v>0.5672223087708366</v>
      </c>
      <c r="Q58" s="62">
        <f t="shared" si="6"/>
        <v>-0.004943696786597118</v>
      </c>
    </row>
    <row r="59" spans="1:17" s="45" customFormat="1" ht="16.5" customHeight="1">
      <c r="A59" s="64"/>
      <c r="B59" s="64"/>
      <c r="C59" s="64"/>
      <c r="D59" s="64"/>
      <c r="E59" s="64"/>
      <c r="F59" s="64"/>
      <c r="G59" s="60" t="s">
        <v>170</v>
      </c>
      <c r="H59" s="61">
        <v>5.75</v>
      </c>
      <c r="I59" s="61">
        <v>5.39</v>
      </c>
      <c r="J59" s="61">
        <v>4.95</v>
      </c>
      <c r="K59" s="61">
        <v>4.74</v>
      </c>
      <c r="L59" s="61">
        <v>6.39</v>
      </c>
      <c r="M59" s="61">
        <v>6.39</v>
      </c>
      <c r="N59" s="61">
        <v>6.1</v>
      </c>
      <c r="O59" s="61">
        <v>6.39</v>
      </c>
      <c r="P59" s="62">
        <f aca="true" t="shared" si="7" ref="P59:P90">N59/M59</f>
        <v>0.9546165884194053</v>
      </c>
      <c r="Q59" s="62">
        <f aca="true" t="shared" si="8" ref="Q59:Q90">O59/N59-1</f>
        <v>0.04754098360655745</v>
      </c>
    </row>
    <row r="60" spans="1:17" s="45" customFormat="1" ht="16.5" customHeight="1">
      <c r="A60" s="64"/>
      <c r="B60" s="64"/>
      <c r="C60" s="64"/>
      <c r="D60" s="64"/>
      <c r="E60" s="64"/>
      <c r="F60" s="64"/>
      <c r="G60" s="60" t="s">
        <v>171</v>
      </c>
      <c r="H60" s="61">
        <v>16.85</v>
      </c>
      <c r="I60" s="61">
        <v>67.28</v>
      </c>
      <c r="J60" s="61">
        <v>22.33</v>
      </c>
      <c r="K60" s="61">
        <v>32.86</v>
      </c>
      <c r="L60" s="61">
        <v>12.88</v>
      </c>
      <c r="M60" s="61">
        <v>17.68</v>
      </c>
      <c r="N60" s="61">
        <v>12.5</v>
      </c>
      <c r="O60" s="61">
        <v>14.08</v>
      </c>
      <c r="P60" s="62">
        <f t="shared" si="7"/>
        <v>0.7070135746606335</v>
      </c>
      <c r="Q60" s="62">
        <f t="shared" si="8"/>
        <v>0.12640000000000007</v>
      </c>
    </row>
    <row r="61" spans="1:17" s="45" customFormat="1" ht="16.5" customHeight="1">
      <c r="A61" s="65"/>
      <c r="B61" s="65"/>
      <c r="C61" s="65"/>
      <c r="D61" s="65"/>
      <c r="E61" s="65"/>
      <c r="F61" s="65"/>
      <c r="G61" s="57" t="s">
        <v>172</v>
      </c>
      <c r="H61" s="58">
        <v>2498.45</v>
      </c>
      <c r="I61" s="58">
        <v>1481.79</v>
      </c>
      <c r="J61" s="58">
        <v>2277.25</v>
      </c>
      <c r="K61" s="58">
        <v>2375.86</v>
      </c>
      <c r="L61" s="58">
        <f>SUM(L62:L77)</f>
        <v>2864.050000000001</v>
      </c>
      <c r="M61" s="58">
        <v>2819.02</v>
      </c>
      <c r="N61" s="58">
        <v>2530.34</v>
      </c>
      <c r="O61" s="58">
        <f>SUM(O62:O77)</f>
        <v>3543.439999999999</v>
      </c>
      <c r="P61" s="59">
        <f t="shared" si="7"/>
        <v>0.89759561833545</v>
      </c>
      <c r="Q61" s="59">
        <f t="shared" si="8"/>
        <v>0.40038097646956494</v>
      </c>
    </row>
    <row r="62" spans="1:17" s="45" customFormat="1" ht="16.5" customHeight="1">
      <c r="A62" s="64"/>
      <c r="B62" s="64"/>
      <c r="C62" s="64"/>
      <c r="D62" s="64"/>
      <c r="E62" s="64"/>
      <c r="F62" s="64"/>
      <c r="G62" s="60" t="s">
        <v>173</v>
      </c>
      <c r="H62" s="61">
        <v>593.17</v>
      </c>
      <c r="I62" s="61">
        <v>361.88</v>
      </c>
      <c r="J62" s="61">
        <v>147.92</v>
      </c>
      <c r="K62" s="61">
        <v>285.57</v>
      </c>
      <c r="L62" s="61">
        <v>405.4</v>
      </c>
      <c r="M62" s="61">
        <v>223.25</v>
      </c>
      <c r="N62" s="61">
        <v>215.32</v>
      </c>
      <c r="O62" s="61">
        <v>873.51</v>
      </c>
      <c r="P62" s="62">
        <f t="shared" si="7"/>
        <v>0.9644792833146696</v>
      </c>
      <c r="Q62" s="62">
        <f t="shared" si="8"/>
        <v>3.0567991826119263</v>
      </c>
    </row>
    <row r="63" spans="1:17" s="44" customFormat="1" ht="16.5" customHeight="1">
      <c r="A63" s="64"/>
      <c r="B63" s="64"/>
      <c r="C63" s="64"/>
      <c r="D63" s="64"/>
      <c r="E63" s="64"/>
      <c r="F63" s="64"/>
      <c r="G63" s="60" t="s">
        <v>174</v>
      </c>
      <c r="H63" s="61">
        <v>167.75</v>
      </c>
      <c r="I63" s="61">
        <v>176.02</v>
      </c>
      <c r="J63" s="61">
        <v>172.98</v>
      </c>
      <c r="K63" s="61">
        <v>167.02</v>
      </c>
      <c r="L63" s="61">
        <v>173.75</v>
      </c>
      <c r="M63" s="61">
        <v>180.76</v>
      </c>
      <c r="N63" s="61">
        <v>163.88</v>
      </c>
      <c r="O63" s="61">
        <f>179.65+90.39</f>
        <v>270.04</v>
      </c>
      <c r="P63" s="62">
        <f t="shared" si="7"/>
        <v>0.9066165080770082</v>
      </c>
      <c r="Q63" s="62">
        <f t="shared" si="8"/>
        <v>0.6477910666341227</v>
      </c>
    </row>
    <row r="64" spans="1:17" s="45" customFormat="1" ht="16.5" customHeight="1">
      <c r="A64" s="64"/>
      <c r="B64" s="64"/>
      <c r="C64" s="64"/>
      <c r="D64" s="64"/>
      <c r="E64" s="64"/>
      <c r="F64" s="64"/>
      <c r="G64" s="60" t="s">
        <v>175</v>
      </c>
      <c r="H64" s="61">
        <v>559.49</v>
      </c>
      <c r="I64" s="61">
        <v>52.78</v>
      </c>
      <c r="J64" s="61">
        <v>736.16</v>
      </c>
      <c r="K64" s="61">
        <v>657.73</v>
      </c>
      <c r="L64" s="61">
        <v>964.07</v>
      </c>
      <c r="M64" s="61">
        <v>867.69</v>
      </c>
      <c r="N64" s="61">
        <v>852.26</v>
      </c>
      <c r="O64" s="61">
        <v>915.81</v>
      </c>
      <c r="P64" s="62">
        <f t="shared" si="7"/>
        <v>0.9822171512867498</v>
      </c>
      <c r="Q64" s="62">
        <f t="shared" si="8"/>
        <v>0.07456644685893976</v>
      </c>
    </row>
    <row r="65" spans="1:17" s="45" customFormat="1" ht="16.5" customHeight="1">
      <c r="A65" s="64"/>
      <c r="B65" s="64"/>
      <c r="C65" s="64"/>
      <c r="D65" s="64"/>
      <c r="E65" s="64"/>
      <c r="F65" s="64"/>
      <c r="G65" s="60" t="s">
        <v>176</v>
      </c>
      <c r="H65" s="61">
        <v>364.61</v>
      </c>
      <c r="I65" s="61">
        <v>328.92</v>
      </c>
      <c r="J65" s="61">
        <v>401.1</v>
      </c>
      <c r="K65" s="61">
        <v>383.39</v>
      </c>
      <c r="L65" s="61">
        <v>423.09</v>
      </c>
      <c r="M65" s="61">
        <v>390.92</v>
      </c>
      <c r="N65" s="61">
        <v>358.15</v>
      </c>
      <c r="O65" s="61">
        <v>431.7</v>
      </c>
      <c r="P65" s="62">
        <f t="shared" si="7"/>
        <v>0.9161721068249257</v>
      </c>
      <c r="Q65" s="62">
        <f t="shared" si="8"/>
        <v>0.20536088231188043</v>
      </c>
    </row>
    <row r="66" spans="1:17" s="45" customFormat="1" ht="16.5" customHeight="1">
      <c r="A66" s="64"/>
      <c r="B66" s="64"/>
      <c r="C66" s="64"/>
      <c r="D66" s="64"/>
      <c r="E66" s="64"/>
      <c r="F66" s="64"/>
      <c r="G66" s="60" t="s">
        <v>177</v>
      </c>
      <c r="H66" s="61">
        <v>27.13</v>
      </c>
      <c r="I66" s="61">
        <v>55.25</v>
      </c>
      <c r="J66" s="61">
        <v>127.68</v>
      </c>
      <c r="K66" s="61">
        <v>90.34</v>
      </c>
      <c r="L66" s="61">
        <v>85.12</v>
      </c>
      <c r="M66" s="61">
        <v>105.57</v>
      </c>
      <c r="N66" s="61">
        <v>93.34</v>
      </c>
      <c r="O66" s="61">
        <v>58.42</v>
      </c>
      <c r="P66" s="62">
        <f t="shared" si="7"/>
        <v>0.884152694894383</v>
      </c>
      <c r="Q66" s="62">
        <f t="shared" si="8"/>
        <v>-0.374116134561817</v>
      </c>
    </row>
    <row r="67" spans="1:17" s="45" customFormat="1" ht="16.5" customHeight="1">
      <c r="A67" s="64"/>
      <c r="B67" s="64"/>
      <c r="C67" s="64"/>
      <c r="D67" s="64"/>
      <c r="E67" s="64"/>
      <c r="F67" s="64"/>
      <c r="G67" s="60" t="s">
        <v>178</v>
      </c>
      <c r="H67" s="61">
        <v>4.29</v>
      </c>
      <c r="I67" s="61">
        <v>1.14</v>
      </c>
      <c r="J67" s="61">
        <v>0.42</v>
      </c>
      <c r="K67" s="61">
        <v>0.42</v>
      </c>
      <c r="L67" s="61">
        <v>0.55</v>
      </c>
      <c r="M67" s="61">
        <v>0.55</v>
      </c>
      <c r="N67" s="61">
        <v>0.55</v>
      </c>
      <c r="O67" s="61">
        <f>91.3-90.39</f>
        <v>0.9099999999999966</v>
      </c>
      <c r="P67" s="62">
        <f t="shared" si="7"/>
        <v>1</v>
      </c>
      <c r="Q67" s="62">
        <f t="shared" si="8"/>
        <v>0.6545454545454481</v>
      </c>
    </row>
    <row r="68" spans="1:17" s="45" customFormat="1" ht="16.5" customHeight="1">
      <c r="A68" s="64"/>
      <c r="B68" s="64"/>
      <c r="C68" s="64"/>
      <c r="D68" s="64"/>
      <c r="E68" s="64"/>
      <c r="F68" s="64"/>
      <c r="G68" s="60" t="s">
        <v>179</v>
      </c>
      <c r="H68" s="61">
        <v>43.9</v>
      </c>
      <c r="I68" s="61">
        <v>37.9</v>
      </c>
      <c r="J68" s="61">
        <v>30.6</v>
      </c>
      <c r="K68" s="61">
        <v>36.41</v>
      </c>
      <c r="L68" s="61">
        <v>39.61</v>
      </c>
      <c r="M68" s="61">
        <v>39.61</v>
      </c>
      <c r="N68" s="61">
        <v>39.25</v>
      </c>
      <c r="O68" s="61">
        <v>50.45</v>
      </c>
      <c r="P68" s="62">
        <f t="shared" si="7"/>
        <v>0.9909113860136329</v>
      </c>
      <c r="Q68" s="62">
        <f t="shared" si="8"/>
        <v>0.28535031847133774</v>
      </c>
    </row>
    <row r="69" spans="1:17" s="45" customFormat="1" ht="16.5" customHeight="1">
      <c r="A69" s="64"/>
      <c r="B69" s="64"/>
      <c r="C69" s="64"/>
      <c r="D69" s="64"/>
      <c r="E69" s="64"/>
      <c r="F69" s="64"/>
      <c r="G69" s="60" t="s">
        <v>180</v>
      </c>
      <c r="H69" s="61">
        <v>369.06</v>
      </c>
      <c r="I69" s="61">
        <v>291.78</v>
      </c>
      <c r="J69" s="61">
        <v>336.46</v>
      </c>
      <c r="K69" s="61">
        <v>313.06</v>
      </c>
      <c r="L69" s="61">
        <v>355.51</v>
      </c>
      <c r="M69" s="61">
        <v>365.19</v>
      </c>
      <c r="N69" s="61">
        <v>314.22</v>
      </c>
      <c r="O69" s="61">
        <v>290.58</v>
      </c>
      <c r="P69" s="62">
        <f t="shared" si="7"/>
        <v>0.8604288178756264</v>
      </c>
      <c r="Q69" s="62">
        <f t="shared" si="8"/>
        <v>-0.0752339125453505</v>
      </c>
    </row>
    <row r="70" spans="1:17" s="45" customFormat="1" ht="16.5" customHeight="1">
      <c r="A70" s="64"/>
      <c r="B70" s="64"/>
      <c r="C70" s="64"/>
      <c r="D70" s="64"/>
      <c r="E70" s="64"/>
      <c r="F70" s="64"/>
      <c r="G70" s="60" t="s">
        <v>181</v>
      </c>
      <c r="H70" s="61">
        <v>102.89</v>
      </c>
      <c r="I70" s="61">
        <v>91.83</v>
      </c>
      <c r="J70" s="61">
        <v>117.89</v>
      </c>
      <c r="K70" s="61">
        <v>88.37</v>
      </c>
      <c r="L70" s="61">
        <v>137.98</v>
      </c>
      <c r="M70" s="61">
        <v>152.18</v>
      </c>
      <c r="N70" s="61">
        <v>128.51</v>
      </c>
      <c r="O70" s="61">
        <v>168.37</v>
      </c>
      <c r="P70" s="62">
        <f t="shared" si="7"/>
        <v>0.8444605072939939</v>
      </c>
      <c r="Q70" s="62">
        <f t="shared" si="8"/>
        <v>0.3101704147537159</v>
      </c>
    </row>
    <row r="71" spans="1:17" s="45" customFormat="1" ht="16.5" customHeight="1">
      <c r="A71" s="64"/>
      <c r="B71" s="64"/>
      <c r="C71" s="64"/>
      <c r="D71" s="64"/>
      <c r="E71" s="64"/>
      <c r="F71" s="64"/>
      <c r="G71" s="60" t="s">
        <v>182</v>
      </c>
      <c r="H71" s="61">
        <v>18.8</v>
      </c>
      <c r="I71" s="61">
        <v>15.43</v>
      </c>
      <c r="J71" s="61">
        <v>10.8</v>
      </c>
      <c r="K71" s="61">
        <v>10.75</v>
      </c>
      <c r="L71" s="61">
        <v>15.76</v>
      </c>
      <c r="M71" s="61">
        <v>15.76</v>
      </c>
      <c r="N71" s="61">
        <v>15.73</v>
      </c>
      <c r="O71" s="61">
        <v>19.42</v>
      </c>
      <c r="P71" s="62">
        <f t="shared" si="7"/>
        <v>0.9980964467005077</v>
      </c>
      <c r="Q71" s="62">
        <f t="shared" si="8"/>
        <v>0.234583598219962</v>
      </c>
    </row>
    <row r="72" spans="1:17" s="45" customFormat="1" ht="16.5" customHeight="1">
      <c r="A72" s="64"/>
      <c r="B72" s="64"/>
      <c r="C72" s="64"/>
      <c r="D72" s="64"/>
      <c r="E72" s="64"/>
      <c r="F72" s="64"/>
      <c r="G72" s="60" t="s">
        <v>183</v>
      </c>
      <c r="H72" s="61"/>
      <c r="I72" s="61"/>
      <c r="J72" s="61"/>
      <c r="K72" s="61"/>
      <c r="L72" s="61"/>
      <c r="M72" s="61">
        <v>0</v>
      </c>
      <c r="N72" s="61">
        <v>12.1</v>
      </c>
      <c r="O72" s="61">
        <v>90</v>
      </c>
      <c r="P72" s="58">
        <v>0</v>
      </c>
      <c r="Q72" s="62">
        <f t="shared" si="8"/>
        <v>6.43801652892562</v>
      </c>
    </row>
    <row r="73" spans="1:17" s="45" customFormat="1" ht="16.5" customHeight="1">
      <c r="A73" s="64"/>
      <c r="B73" s="64"/>
      <c r="C73" s="64"/>
      <c r="D73" s="64"/>
      <c r="E73" s="64"/>
      <c r="F73" s="64"/>
      <c r="G73" s="60" t="s">
        <v>184</v>
      </c>
      <c r="H73" s="61">
        <v>69.25</v>
      </c>
      <c r="I73" s="61">
        <v>37.18</v>
      </c>
      <c r="J73" s="61">
        <v>12</v>
      </c>
      <c r="K73" s="61">
        <v>17.37</v>
      </c>
      <c r="L73" s="61">
        <v>41.11</v>
      </c>
      <c r="M73" s="61">
        <v>83.29</v>
      </c>
      <c r="N73" s="61">
        <v>69.32</v>
      </c>
      <c r="O73" s="61">
        <v>212</v>
      </c>
      <c r="P73" s="62">
        <f t="shared" si="7"/>
        <v>0.8322727818465601</v>
      </c>
      <c r="Q73" s="62">
        <f t="shared" si="8"/>
        <v>2.0582804385458746</v>
      </c>
    </row>
    <row r="74" spans="1:17" s="45" customFormat="1" ht="16.5" customHeight="1">
      <c r="A74" s="64"/>
      <c r="B74" s="64"/>
      <c r="C74" s="64"/>
      <c r="D74" s="64"/>
      <c r="E74" s="64"/>
      <c r="F74" s="64"/>
      <c r="G74" s="60" t="s">
        <v>185</v>
      </c>
      <c r="H74" s="61">
        <v>0</v>
      </c>
      <c r="I74" s="61">
        <v>1.79</v>
      </c>
      <c r="J74" s="61">
        <v>14.52</v>
      </c>
      <c r="K74" s="61">
        <v>16.84</v>
      </c>
      <c r="L74" s="61">
        <v>47.98</v>
      </c>
      <c r="M74" s="61">
        <v>66.51</v>
      </c>
      <c r="N74" s="61">
        <v>31.82</v>
      </c>
      <c r="O74" s="61">
        <v>15</v>
      </c>
      <c r="P74" s="62">
        <f t="shared" si="7"/>
        <v>0.4784242970981807</v>
      </c>
      <c r="Q74" s="62">
        <f t="shared" si="8"/>
        <v>-0.5285983658076681</v>
      </c>
    </row>
    <row r="75" spans="1:17" s="45" customFormat="1" ht="16.5" customHeight="1">
      <c r="A75" s="64"/>
      <c r="B75" s="64"/>
      <c r="C75" s="64"/>
      <c r="D75" s="64"/>
      <c r="E75" s="64"/>
      <c r="F75" s="64"/>
      <c r="G75" s="60" t="s">
        <v>186</v>
      </c>
      <c r="H75" s="61">
        <v>19.8</v>
      </c>
      <c r="I75" s="61">
        <v>18.35</v>
      </c>
      <c r="J75" s="61">
        <v>19.73</v>
      </c>
      <c r="K75" s="61">
        <v>17.23</v>
      </c>
      <c r="L75" s="61">
        <v>21.63</v>
      </c>
      <c r="M75" s="61">
        <v>23.92</v>
      </c>
      <c r="N75" s="61">
        <v>19.91</v>
      </c>
      <c r="O75" s="61">
        <v>3</v>
      </c>
      <c r="P75" s="62">
        <f t="shared" si="7"/>
        <v>0.8323578595317725</v>
      </c>
      <c r="Q75" s="62">
        <f t="shared" si="8"/>
        <v>-0.8493219487694625</v>
      </c>
    </row>
    <row r="76" spans="1:17" s="45" customFormat="1" ht="16.5" customHeight="1">
      <c r="A76" s="64"/>
      <c r="B76" s="64"/>
      <c r="C76" s="64"/>
      <c r="D76" s="64"/>
      <c r="E76" s="64"/>
      <c r="F76" s="64"/>
      <c r="G76" s="60" t="s">
        <v>187</v>
      </c>
      <c r="H76" s="61">
        <v>0</v>
      </c>
      <c r="I76" s="61">
        <v>7.75</v>
      </c>
      <c r="J76" s="61">
        <v>2.5</v>
      </c>
      <c r="K76" s="61">
        <v>2.14</v>
      </c>
      <c r="L76" s="61">
        <v>5</v>
      </c>
      <c r="M76" s="61">
        <v>5</v>
      </c>
      <c r="N76" s="61">
        <v>4.05</v>
      </c>
      <c r="O76" s="61">
        <v>0</v>
      </c>
      <c r="P76" s="62">
        <f t="shared" si="7"/>
        <v>0.8099999999999999</v>
      </c>
      <c r="Q76" s="62">
        <f t="shared" si="8"/>
        <v>-1</v>
      </c>
    </row>
    <row r="77" spans="1:17" s="45" customFormat="1" ht="16.5" customHeight="1">
      <c r="A77" s="64"/>
      <c r="B77" s="64"/>
      <c r="C77" s="64"/>
      <c r="D77" s="64"/>
      <c r="E77" s="64"/>
      <c r="F77" s="64"/>
      <c r="G77" s="60" t="s">
        <v>188</v>
      </c>
      <c r="H77" s="61">
        <v>149.08</v>
      </c>
      <c r="I77" s="61">
        <v>3.79</v>
      </c>
      <c r="J77" s="61">
        <v>146.49</v>
      </c>
      <c r="K77" s="61">
        <v>289.22</v>
      </c>
      <c r="L77" s="61">
        <v>147.49</v>
      </c>
      <c r="M77" s="61">
        <v>286.95</v>
      </c>
      <c r="N77" s="61">
        <v>211.93</v>
      </c>
      <c r="O77" s="61">
        <v>144.23</v>
      </c>
      <c r="P77" s="62">
        <f t="shared" si="7"/>
        <v>0.738560724864959</v>
      </c>
      <c r="Q77" s="62">
        <f t="shared" si="8"/>
        <v>-0.3194450997971029</v>
      </c>
    </row>
    <row r="78" spans="1:17" s="45" customFormat="1" ht="16.5" customHeight="1">
      <c r="A78" s="65"/>
      <c r="B78" s="65"/>
      <c r="C78" s="65"/>
      <c r="D78" s="65"/>
      <c r="E78" s="65"/>
      <c r="F78" s="65"/>
      <c r="G78" s="57" t="s">
        <v>189</v>
      </c>
      <c r="H78" s="58">
        <v>5489.32</v>
      </c>
      <c r="I78" s="58">
        <v>4883.39</v>
      </c>
      <c r="J78" s="58">
        <v>5690.67</v>
      </c>
      <c r="K78" s="58">
        <v>4232.35</v>
      </c>
      <c r="L78" s="58">
        <f>SUM(L79:L89)+0.01</f>
        <v>5318.58</v>
      </c>
      <c r="M78" s="58">
        <v>5449.91</v>
      </c>
      <c r="N78" s="58">
        <v>5356.94</v>
      </c>
      <c r="O78" s="58">
        <f>SUM(O79:O89)</f>
        <v>1472.44</v>
      </c>
      <c r="P78" s="59">
        <f t="shared" si="7"/>
        <v>0.9829410026954573</v>
      </c>
      <c r="Q78" s="59">
        <f t="shared" si="8"/>
        <v>-0.7251341250788697</v>
      </c>
    </row>
    <row r="79" spans="1:17" s="45" customFormat="1" ht="16.5" customHeight="1">
      <c r="A79" s="64"/>
      <c r="B79" s="64"/>
      <c r="C79" s="64"/>
      <c r="D79" s="64"/>
      <c r="E79" s="64"/>
      <c r="F79" s="64"/>
      <c r="G79" s="66" t="s">
        <v>190</v>
      </c>
      <c r="H79" s="61">
        <v>33</v>
      </c>
      <c r="I79" s="61">
        <v>31.52</v>
      </c>
      <c r="J79" s="61">
        <v>113.48</v>
      </c>
      <c r="K79" s="61">
        <v>109.91</v>
      </c>
      <c r="L79" s="61">
        <v>171.16</v>
      </c>
      <c r="M79" s="61">
        <v>276.64</v>
      </c>
      <c r="N79" s="61">
        <v>270.49</v>
      </c>
      <c r="O79" s="61">
        <v>46.1</v>
      </c>
      <c r="P79" s="62">
        <f t="shared" si="7"/>
        <v>0.9777689415847312</v>
      </c>
      <c r="Q79" s="62">
        <f t="shared" si="8"/>
        <v>-0.829568560760102</v>
      </c>
    </row>
    <row r="80" spans="1:17" s="44" customFormat="1" ht="16.5" customHeight="1">
      <c r="A80" s="64"/>
      <c r="B80" s="64"/>
      <c r="C80" s="64"/>
      <c r="D80" s="64"/>
      <c r="E80" s="64"/>
      <c r="F80" s="64"/>
      <c r="G80" s="60" t="s">
        <v>191</v>
      </c>
      <c r="H80" s="61"/>
      <c r="I80" s="61"/>
      <c r="J80" s="61"/>
      <c r="K80" s="61"/>
      <c r="L80" s="61">
        <v>0</v>
      </c>
      <c r="M80" s="61">
        <v>17.6</v>
      </c>
      <c r="N80" s="61">
        <v>17.6</v>
      </c>
      <c r="O80" s="61">
        <v>0</v>
      </c>
      <c r="P80" s="62">
        <f t="shared" si="7"/>
        <v>1</v>
      </c>
      <c r="Q80" s="62">
        <f t="shared" si="8"/>
        <v>-1</v>
      </c>
    </row>
    <row r="81" spans="1:17" s="45" customFormat="1" ht="16.5" customHeight="1">
      <c r="A81" s="64"/>
      <c r="B81" s="64"/>
      <c r="C81" s="64"/>
      <c r="D81" s="64"/>
      <c r="E81" s="64"/>
      <c r="F81" s="64"/>
      <c r="G81" s="60" t="s">
        <v>192</v>
      </c>
      <c r="H81" s="61">
        <v>4411.71</v>
      </c>
      <c r="I81" s="61">
        <v>3819</v>
      </c>
      <c r="J81" s="61">
        <v>4515.06</v>
      </c>
      <c r="K81" s="61">
        <v>3302.66</v>
      </c>
      <c r="L81" s="61">
        <v>4425.36</v>
      </c>
      <c r="M81" s="61">
        <v>4469</v>
      </c>
      <c r="N81" s="61">
        <v>4423.13</v>
      </c>
      <c r="O81" s="61">
        <v>729.24</v>
      </c>
      <c r="P81" s="62">
        <f t="shared" si="7"/>
        <v>0.9897359588274782</v>
      </c>
      <c r="Q81" s="62">
        <f t="shared" si="8"/>
        <v>-0.8351303262621719</v>
      </c>
    </row>
    <row r="82" spans="1:17" s="45" customFormat="1" ht="16.5" customHeight="1">
      <c r="A82" s="64"/>
      <c r="B82" s="64"/>
      <c r="C82" s="64"/>
      <c r="D82" s="64"/>
      <c r="E82" s="64"/>
      <c r="F82" s="64"/>
      <c r="G82" s="60" t="s">
        <v>193</v>
      </c>
      <c r="H82" s="61">
        <v>173.03</v>
      </c>
      <c r="I82" s="61">
        <v>207</v>
      </c>
      <c r="J82" s="61">
        <v>474.19</v>
      </c>
      <c r="K82" s="61">
        <v>403.56</v>
      </c>
      <c r="L82" s="61">
        <v>239.62</v>
      </c>
      <c r="M82" s="61">
        <v>210.36</v>
      </c>
      <c r="N82" s="61">
        <v>207.4</v>
      </c>
      <c r="O82" s="61">
        <v>229.06</v>
      </c>
      <c r="P82" s="62">
        <f t="shared" si="7"/>
        <v>0.9859288838182163</v>
      </c>
      <c r="Q82" s="62">
        <f t="shared" si="8"/>
        <v>0.10443587270973964</v>
      </c>
    </row>
    <row r="83" spans="1:17" s="45" customFormat="1" ht="16.5" customHeight="1">
      <c r="A83" s="64"/>
      <c r="B83" s="64"/>
      <c r="C83" s="64"/>
      <c r="D83" s="64"/>
      <c r="E83" s="64"/>
      <c r="F83" s="64"/>
      <c r="G83" s="60" t="s">
        <v>194</v>
      </c>
      <c r="H83" s="61">
        <v>323.1</v>
      </c>
      <c r="I83" s="61">
        <v>287.18</v>
      </c>
      <c r="J83" s="61">
        <v>26.14</v>
      </c>
      <c r="K83" s="61">
        <v>27.71</v>
      </c>
      <c r="L83" s="61">
        <v>0</v>
      </c>
      <c r="M83" s="61">
        <v>0</v>
      </c>
      <c r="N83" s="61">
        <v>0</v>
      </c>
      <c r="O83" s="61">
        <v>0</v>
      </c>
      <c r="P83" s="58">
        <v>0</v>
      </c>
      <c r="Q83" s="58">
        <v>0</v>
      </c>
    </row>
    <row r="84" spans="1:17" s="45" customFormat="1" ht="16.5" customHeight="1">
      <c r="A84" s="64"/>
      <c r="B84" s="64"/>
      <c r="C84" s="64"/>
      <c r="D84" s="64"/>
      <c r="E84" s="64"/>
      <c r="F84" s="64"/>
      <c r="G84" s="60" t="s">
        <v>195</v>
      </c>
      <c r="H84" s="61">
        <v>0</v>
      </c>
      <c r="I84" s="61">
        <v>7</v>
      </c>
      <c r="J84" s="61">
        <v>0</v>
      </c>
      <c r="K84" s="61">
        <v>8</v>
      </c>
      <c r="L84" s="61">
        <v>0</v>
      </c>
      <c r="M84" s="61">
        <v>5</v>
      </c>
      <c r="N84" s="61">
        <v>5</v>
      </c>
      <c r="O84" s="61">
        <v>0</v>
      </c>
      <c r="P84" s="62">
        <f t="shared" si="7"/>
        <v>1</v>
      </c>
      <c r="Q84" s="62">
        <f t="shared" si="8"/>
        <v>-1</v>
      </c>
    </row>
    <row r="85" spans="1:17" s="45" customFormat="1" ht="16.5" customHeight="1">
      <c r="A85" s="64"/>
      <c r="B85" s="64"/>
      <c r="C85" s="64"/>
      <c r="D85" s="64"/>
      <c r="E85" s="64"/>
      <c r="F85" s="64"/>
      <c r="G85" s="60" t="s">
        <v>196</v>
      </c>
      <c r="H85" s="61">
        <v>522.2</v>
      </c>
      <c r="I85" s="61">
        <v>490.15</v>
      </c>
      <c r="J85" s="61">
        <v>504.16</v>
      </c>
      <c r="K85" s="61">
        <v>308.89</v>
      </c>
      <c r="L85" s="61">
        <v>420.96</v>
      </c>
      <c r="M85" s="61">
        <v>383.6</v>
      </c>
      <c r="N85" s="61">
        <v>346.17</v>
      </c>
      <c r="O85" s="61">
        <v>407.17</v>
      </c>
      <c r="P85" s="62">
        <f t="shared" si="7"/>
        <v>0.9024244004171011</v>
      </c>
      <c r="Q85" s="62">
        <f t="shared" si="8"/>
        <v>0.17621399890227352</v>
      </c>
    </row>
    <row r="86" spans="1:17" s="45" customFormat="1" ht="16.5" customHeight="1">
      <c r="A86" s="64"/>
      <c r="B86" s="64"/>
      <c r="C86" s="64"/>
      <c r="D86" s="64"/>
      <c r="E86" s="64"/>
      <c r="F86" s="64"/>
      <c r="G86" s="60" t="s">
        <v>197</v>
      </c>
      <c r="H86" s="61">
        <v>26.29</v>
      </c>
      <c r="I86" s="61">
        <v>41.53</v>
      </c>
      <c r="J86" s="61">
        <v>57.64</v>
      </c>
      <c r="K86" s="61">
        <v>70.92</v>
      </c>
      <c r="L86" s="61">
        <v>55.83</v>
      </c>
      <c r="M86" s="61">
        <v>65.13</v>
      </c>
      <c r="N86" s="61">
        <v>66.95</v>
      </c>
      <c r="O86" s="61">
        <v>55.87</v>
      </c>
      <c r="P86" s="62">
        <f t="shared" si="7"/>
        <v>1.0279441117764472</v>
      </c>
      <c r="Q86" s="62">
        <f t="shared" si="8"/>
        <v>-0.16549663928304714</v>
      </c>
    </row>
    <row r="87" spans="1:17" s="45" customFormat="1" ht="16.5" customHeight="1">
      <c r="A87" s="64"/>
      <c r="B87" s="64"/>
      <c r="C87" s="64"/>
      <c r="D87" s="64"/>
      <c r="E87" s="64"/>
      <c r="F87" s="64"/>
      <c r="G87" s="60" t="s">
        <v>198</v>
      </c>
      <c r="H87" s="61"/>
      <c r="I87" s="61"/>
      <c r="J87" s="61">
        <v>0</v>
      </c>
      <c r="K87" s="61">
        <v>0</v>
      </c>
      <c r="L87" s="61">
        <v>5</v>
      </c>
      <c r="M87" s="61">
        <v>21.33</v>
      </c>
      <c r="N87" s="61">
        <v>19.65</v>
      </c>
      <c r="O87" s="61">
        <v>5</v>
      </c>
      <c r="P87" s="62">
        <f t="shared" si="7"/>
        <v>0.9212376933895922</v>
      </c>
      <c r="Q87" s="62">
        <f t="shared" si="8"/>
        <v>-0.7455470737913485</v>
      </c>
    </row>
    <row r="88" spans="1:17" s="45" customFormat="1" ht="16.5" customHeight="1">
      <c r="A88" s="64"/>
      <c r="B88" s="64"/>
      <c r="C88" s="64"/>
      <c r="D88" s="64"/>
      <c r="E88" s="64"/>
      <c r="F88" s="64"/>
      <c r="G88" s="60" t="s">
        <v>199</v>
      </c>
      <c r="H88" s="61"/>
      <c r="I88" s="61"/>
      <c r="J88" s="61">
        <v>0</v>
      </c>
      <c r="K88" s="61">
        <v>0</v>
      </c>
      <c r="L88" s="61">
        <v>0.64</v>
      </c>
      <c r="M88" s="61">
        <v>0.64</v>
      </c>
      <c r="N88" s="61">
        <v>0</v>
      </c>
      <c r="O88" s="61">
        <v>0</v>
      </c>
      <c r="P88" s="62">
        <f t="shared" si="7"/>
        <v>0</v>
      </c>
      <c r="Q88" s="58">
        <v>0</v>
      </c>
    </row>
    <row r="89" spans="1:17" s="45" customFormat="1" ht="16.5" customHeight="1">
      <c r="A89" s="64"/>
      <c r="B89" s="64"/>
      <c r="C89" s="64"/>
      <c r="D89" s="64"/>
      <c r="E89" s="64"/>
      <c r="F89" s="64"/>
      <c r="G89" s="60" t="s">
        <v>200</v>
      </c>
      <c r="H89" s="61">
        <f>R91/10000</f>
        <v>0</v>
      </c>
      <c r="I89" s="61">
        <v>0</v>
      </c>
      <c r="J89" s="61">
        <v>0</v>
      </c>
      <c r="K89" s="61">
        <v>0.7</v>
      </c>
      <c r="L89" s="61">
        <v>0</v>
      </c>
      <c r="M89" s="61">
        <v>0.6</v>
      </c>
      <c r="N89" s="61">
        <v>0.55</v>
      </c>
      <c r="O89" s="61">
        <v>0</v>
      </c>
      <c r="P89" s="62">
        <f t="shared" si="7"/>
        <v>0.9166666666666667</v>
      </c>
      <c r="Q89" s="58">
        <v>0</v>
      </c>
    </row>
    <row r="90" spans="1:17" s="45" customFormat="1" ht="16.5" customHeight="1">
      <c r="A90" s="65"/>
      <c r="B90" s="65"/>
      <c r="C90" s="65"/>
      <c r="D90" s="65"/>
      <c r="E90" s="65"/>
      <c r="F90" s="65"/>
      <c r="G90" s="57" t="s">
        <v>201</v>
      </c>
      <c r="H90" s="58">
        <v>1473.51</v>
      </c>
      <c r="I90" s="58">
        <v>642.17</v>
      </c>
      <c r="J90" s="58">
        <v>311.69</v>
      </c>
      <c r="K90" s="58">
        <v>465.71</v>
      </c>
      <c r="L90" s="58">
        <f>SUM(L91:L96)</f>
        <v>887.98</v>
      </c>
      <c r="M90" s="58">
        <v>867.97</v>
      </c>
      <c r="N90" s="58">
        <v>696.85</v>
      </c>
      <c r="O90" s="58">
        <f>SUM(O91:O98)+0.01</f>
        <v>992.66</v>
      </c>
      <c r="P90" s="59">
        <f t="shared" si="7"/>
        <v>0.8028503289284192</v>
      </c>
      <c r="Q90" s="59">
        <f t="shared" si="8"/>
        <v>0.4244959460429072</v>
      </c>
    </row>
    <row r="91" spans="1:17" s="45" customFormat="1" ht="16.5" customHeight="1">
      <c r="A91" s="64"/>
      <c r="B91" s="64"/>
      <c r="C91" s="64"/>
      <c r="D91" s="64"/>
      <c r="E91" s="64"/>
      <c r="F91" s="64"/>
      <c r="G91" s="66" t="s">
        <v>202</v>
      </c>
      <c r="H91" s="61">
        <v>2.2</v>
      </c>
      <c r="I91" s="61">
        <v>2.6</v>
      </c>
      <c r="J91" s="61">
        <v>20.58</v>
      </c>
      <c r="K91" s="61">
        <v>19.42</v>
      </c>
      <c r="L91" s="61">
        <v>5</v>
      </c>
      <c r="M91" s="61">
        <v>14.8</v>
      </c>
      <c r="N91" s="61">
        <v>13.68</v>
      </c>
      <c r="O91" s="61">
        <v>33.02</v>
      </c>
      <c r="P91" s="62">
        <f aca="true" t="shared" si="9" ref="P91:P124">N91/M91</f>
        <v>0.9243243243243242</v>
      </c>
      <c r="Q91" s="62">
        <f aca="true" t="shared" si="10" ref="Q91:Q124">O91/N91-1</f>
        <v>1.4137426900584797</v>
      </c>
    </row>
    <row r="92" spans="1:17" s="44" customFormat="1" ht="16.5" customHeight="1">
      <c r="A92" s="64"/>
      <c r="B92" s="64"/>
      <c r="C92" s="64"/>
      <c r="D92" s="64"/>
      <c r="E92" s="64"/>
      <c r="F92" s="64"/>
      <c r="G92" s="66" t="s">
        <v>203</v>
      </c>
      <c r="H92" s="61">
        <v>8.4</v>
      </c>
      <c r="I92" s="61">
        <v>5.21</v>
      </c>
      <c r="J92" s="61">
        <v>5</v>
      </c>
      <c r="K92" s="61">
        <v>51.07</v>
      </c>
      <c r="L92" s="61">
        <v>5</v>
      </c>
      <c r="M92" s="61">
        <v>0</v>
      </c>
      <c r="N92" s="61">
        <v>0</v>
      </c>
      <c r="O92" s="61">
        <v>0</v>
      </c>
      <c r="P92" s="58">
        <v>0</v>
      </c>
      <c r="Q92" s="58">
        <v>0</v>
      </c>
    </row>
    <row r="93" spans="1:17" s="45" customFormat="1" ht="16.5" customHeight="1">
      <c r="A93" s="64"/>
      <c r="B93" s="64"/>
      <c r="C93" s="64"/>
      <c r="D93" s="64"/>
      <c r="E93" s="64"/>
      <c r="F93" s="64"/>
      <c r="G93" s="66" t="s">
        <v>204</v>
      </c>
      <c r="H93" s="61">
        <v>356.41</v>
      </c>
      <c r="I93" s="61">
        <v>341.97</v>
      </c>
      <c r="J93" s="61">
        <v>1.46</v>
      </c>
      <c r="K93" s="61">
        <v>1.46</v>
      </c>
      <c r="L93" s="61">
        <v>436.13</v>
      </c>
      <c r="M93" s="61">
        <v>464.65</v>
      </c>
      <c r="N93" s="61">
        <v>430.83</v>
      </c>
      <c r="O93" s="61">
        <v>100.1</v>
      </c>
      <c r="P93" s="62">
        <f t="shared" si="9"/>
        <v>0.9272140320671474</v>
      </c>
      <c r="Q93" s="62">
        <f t="shared" si="10"/>
        <v>-0.7676577768493373</v>
      </c>
    </row>
    <row r="94" spans="1:17" s="45" customFormat="1" ht="16.5" customHeight="1">
      <c r="A94" s="64"/>
      <c r="B94" s="64"/>
      <c r="C94" s="64"/>
      <c r="D94" s="64"/>
      <c r="E94" s="64"/>
      <c r="F94" s="64"/>
      <c r="G94" s="60" t="s">
        <v>205</v>
      </c>
      <c r="H94" s="61">
        <v>3.6</v>
      </c>
      <c r="I94" s="61">
        <v>3.59</v>
      </c>
      <c r="J94" s="61">
        <v>273.75</v>
      </c>
      <c r="K94" s="61">
        <v>184.15</v>
      </c>
      <c r="L94" s="61">
        <v>348.25</v>
      </c>
      <c r="M94" s="61">
        <v>320.34</v>
      </c>
      <c r="N94" s="61">
        <v>188.24</v>
      </c>
      <c r="O94" s="61">
        <v>782.63</v>
      </c>
      <c r="P94" s="62">
        <f t="shared" si="9"/>
        <v>0.5876256477492665</v>
      </c>
      <c r="Q94" s="62">
        <f t="shared" si="10"/>
        <v>3.157617934551636</v>
      </c>
    </row>
    <row r="95" spans="1:17" s="45" customFormat="1" ht="16.5" customHeight="1">
      <c r="A95" s="64"/>
      <c r="B95" s="64"/>
      <c r="C95" s="64"/>
      <c r="D95" s="64"/>
      <c r="E95" s="64"/>
      <c r="F95" s="64"/>
      <c r="G95" s="60" t="s">
        <v>206</v>
      </c>
      <c r="H95" s="61">
        <f>R97/10000</f>
        <v>0</v>
      </c>
      <c r="I95" s="58">
        <v>0</v>
      </c>
      <c r="J95" s="61">
        <v>0</v>
      </c>
      <c r="K95" s="61">
        <v>0</v>
      </c>
      <c r="L95" s="61"/>
      <c r="M95" s="61">
        <v>0</v>
      </c>
      <c r="N95" s="61">
        <v>0</v>
      </c>
      <c r="O95" s="61">
        <v>0</v>
      </c>
      <c r="P95" s="61">
        <v>0</v>
      </c>
      <c r="Q95" s="61">
        <v>0</v>
      </c>
    </row>
    <row r="96" spans="1:17" s="45" customFormat="1" ht="16.5" customHeight="1">
      <c r="A96" s="64"/>
      <c r="B96" s="64"/>
      <c r="C96" s="64"/>
      <c r="D96" s="64"/>
      <c r="E96" s="64"/>
      <c r="F96" s="64"/>
      <c r="G96" s="60" t="s">
        <v>207</v>
      </c>
      <c r="H96" s="61">
        <v>1102.9</v>
      </c>
      <c r="I96" s="61">
        <v>288.8</v>
      </c>
      <c r="J96" s="61">
        <v>10.9</v>
      </c>
      <c r="K96" s="61">
        <v>209.61</v>
      </c>
      <c r="L96" s="61">
        <v>93.6</v>
      </c>
      <c r="M96" s="61">
        <v>68.18</v>
      </c>
      <c r="N96" s="61">
        <v>64.1</v>
      </c>
      <c r="O96" s="61">
        <v>69.5</v>
      </c>
      <c r="P96" s="62">
        <f t="shared" si="9"/>
        <v>0.9401584042241125</v>
      </c>
      <c r="Q96" s="62">
        <f t="shared" si="10"/>
        <v>0.08424336973478952</v>
      </c>
    </row>
    <row r="97" spans="1:17" s="45" customFormat="1" ht="16.5" customHeight="1">
      <c r="A97" s="64"/>
      <c r="B97" s="64"/>
      <c r="C97" s="64"/>
      <c r="D97" s="64"/>
      <c r="E97" s="64"/>
      <c r="F97" s="64"/>
      <c r="G97" s="60" t="s">
        <v>208</v>
      </c>
      <c r="H97" s="61"/>
      <c r="I97" s="61"/>
      <c r="J97" s="61"/>
      <c r="K97" s="61"/>
      <c r="L97" s="61"/>
      <c r="M97" s="61">
        <v>0</v>
      </c>
      <c r="N97" s="61">
        <v>0</v>
      </c>
      <c r="O97" s="61">
        <v>3</v>
      </c>
      <c r="P97" s="58">
        <v>0</v>
      </c>
      <c r="Q97" s="62">
        <v>1</v>
      </c>
    </row>
    <row r="98" spans="1:17" s="45" customFormat="1" ht="16.5" customHeight="1">
      <c r="A98" s="64"/>
      <c r="B98" s="64"/>
      <c r="C98" s="64"/>
      <c r="D98" s="64"/>
      <c r="E98" s="64"/>
      <c r="F98" s="64"/>
      <c r="G98" s="66" t="s">
        <v>209</v>
      </c>
      <c r="H98" s="61">
        <f>R100/10000</f>
        <v>0</v>
      </c>
      <c r="I98" s="61">
        <v>0</v>
      </c>
      <c r="J98" s="61">
        <v>0</v>
      </c>
      <c r="K98" s="61">
        <v>0</v>
      </c>
      <c r="L98" s="61"/>
      <c r="M98" s="61">
        <v>0</v>
      </c>
      <c r="N98" s="61">
        <v>0</v>
      </c>
      <c r="O98" s="61">
        <v>4.4</v>
      </c>
      <c r="P98" s="58">
        <v>0</v>
      </c>
      <c r="Q98" s="62">
        <v>1</v>
      </c>
    </row>
    <row r="99" spans="1:17" s="45" customFormat="1" ht="16.5" customHeight="1">
      <c r="A99" s="65"/>
      <c r="B99" s="65"/>
      <c r="C99" s="65"/>
      <c r="D99" s="65"/>
      <c r="E99" s="65"/>
      <c r="F99" s="65"/>
      <c r="G99" s="57" t="s">
        <v>210</v>
      </c>
      <c r="H99" s="58">
        <v>3362.74</v>
      </c>
      <c r="I99" s="58">
        <v>3458.79</v>
      </c>
      <c r="J99" s="58">
        <v>4226.03</v>
      </c>
      <c r="K99" s="58">
        <v>3119.12</v>
      </c>
      <c r="L99" s="58">
        <f>SUM(L100:L105)</f>
        <v>1454.6599999999999</v>
      </c>
      <c r="M99" s="58">
        <v>3887.11</v>
      </c>
      <c r="N99" s="58">
        <v>3785.78</v>
      </c>
      <c r="O99" s="58">
        <f>SUM(O100:O105)</f>
        <v>8858.56</v>
      </c>
      <c r="P99" s="59">
        <f t="shared" si="9"/>
        <v>0.9739317899416277</v>
      </c>
      <c r="Q99" s="59">
        <f t="shared" si="10"/>
        <v>1.339956363021623</v>
      </c>
    </row>
    <row r="100" spans="1:17" s="45" customFormat="1" ht="16.5" customHeight="1">
      <c r="A100" s="64"/>
      <c r="B100" s="64"/>
      <c r="C100" s="64"/>
      <c r="D100" s="64"/>
      <c r="E100" s="64"/>
      <c r="F100" s="64"/>
      <c r="G100" s="66" t="s">
        <v>211</v>
      </c>
      <c r="H100" s="61">
        <v>227.18</v>
      </c>
      <c r="I100" s="61">
        <v>228.71</v>
      </c>
      <c r="J100" s="61">
        <v>233.9</v>
      </c>
      <c r="K100" s="61">
        <v>234.39</v>
      </c>
      <c r="L100" s="61">
        <v>169.99</v>
      </c>
      <c r="M100" s="61">
        <v>242.26</v>
      </c>
      <c r="N100" s="61">
        <v>215.09</v>
      </c>
      <c r="O100" s="61">
        <v>193</v>
      </c>
      <c r="P100" s="62">
        <f t="shared" si="9"/>
        <v>0.8878477668620491</v>
      </c>
      <c r="Q100" s="62">
        <f t="shared" si="10"/>
        <v>-0.10270119484866802</v>
      </c>
    </row>
    <row r="101" spans="1:17" s="44" customFormat="1" ht="16.5" customHeight="1">
      <c r="A101" s="64"/>
      <c r="B101" s="64"/>
      <c r="C101" s="64"/>
      <c r="D101" s="64"/>
      <c r="E101" s="64"/>
      <c r="F101" s="64"/>
      <c r="G101" s="66" t="s">
        <v>212</v>
      </c>
      <c r="H101" s="61">
        <v>100.9</v>
      </c>
      <c r="I101" s="61">
        <v>70.18</v>
      </c>
      <c r="J101" s="61">
        <v>69.54</v>
      </c>
      <c r="K101" s="61">
        <v>55.67</v>
      </c>
      <c r="L101" s="61">
        <v>48</v>
      </c>
      <c r="M101" s="61">
        <v>48</v>
      </c>
      <c r="N101" s="61">
        <v>49.06</v>
      </c>
      <c r="O101" s="61">
        <v>7</v>
      </c>
      <c r="P101" s="62">
        <f t="shared" si="9"/>
        <v>1.0220833333333335</v>
      </c>
      <c r="Q101" s="62">
        <f t="shared" si="10"/>
        <v>-0.8573175703220546</v>
      </c>
    </row>
    <row r="102" spans="1:17" s="45" customFormat="1" ht="16.5" customHeight="1">
      <c r="A102" s="64"/>
      <c r="B102" s="64"/>
      <c r="C102" s="64"/>
      <c r="D102" s="64"/>
      <c r="E102" s="64"/>
      <c r="F102" s="64"/>
      <c r="G102" s="60" t="s">
        <v>213</v>
      </c>
      <c r="H102" s="61">
        <v>2140.3</v>
      </c>
      <c r="I102" s="61">
        <v>2472.94</v>
      </c>
      <c r="J102" s="61">
        <v>3224.71</v>
      </c>
      <c r="K102" s="61">
        <v>334.47</v>
      </c>
      <c r="L102" s="61">
        <v>87.91</v>
      </c>
      <c r="M102" s="61">
        <v>2194.52</v>
      </c>
      <c r="N102" s="61">
        <v>1974.16</v>
      </c>
      <c r="O102" s="61">
        <v>4787.25</v>
      </c>
      <c r="P102" s="62">
        <f t="shared" si="9"/>
        <v>0.8995862420939431</v>
      </c>
      <c r="Q102" s="62">
        <f t="shared" si="10"/>
        <v>1.4249554240791018</v>
      </c>
    </row>
    <row r="103" spans="1:17" s="45" customFormat="1" ht="16.5" customHeight="1">
      <c r="A103" s="64"/>
      <c r="B103" s="64"/>
      <c r="C103" s="64"/>
      <c r="D103" s="64"/>
      <c r="E103" s="64"/>
      <c r="F103" s="64"/>
      <c r="G103" s="66" t="s">
        <v>214</v>
      </c>
      <c r="H103" s="61">
        <v>871.73</v>
      </c>
      <c r="I103" s="61">
        <v>654.55</v>
      </c>
      <c r="J103" s="61">
        <v>693</v>
      </c>
      <c r="K103" s="61">
        <v>753.85</v>
      </c>
      <c r="L103" s="61">
        <v>709.65</v>
      </c>
      <c r="M103" s="61">
        <v>935.46</v>
      </c>
      <c r="N103" s="61">
        <v>913.96</v>
      </c>
      <c r="O103" s="61">
        <v>1091.91</v>
      </c>
      <c r="P103" s="62">
        <f t="shared" si="9"/>
        <v>0.9770166549077459</v>
      </c>
      <c r="Q103" s="62">
        <f t="shared" si="10"/>
        <v>0.19470217514989718</v>
      </c>
    </row>
    <row r="104" spans="1:17" s="45" customFormat="1" ht="16.5" customHeight="1">
      <c r="A104" s="64"/>
      <c r="B104" s="64"/>
      <c r="C104" s="64"/>
      <c r="D104" s="64"/>
      <c r="E104" s="64"/>
      <c r="F104" s="64"/>
      <c r="G104" s="60" t="s">
        <v>215</v>
      </c>
      <c r="H104" s="61">
        <f>R106/10000</f>
        <v>0</v>
      </c>
      <c r="I104" s="58">
        <v>0</v>
      </c>
      <c r="J104" s="61">
        <v>0</v>
      </c>
      <c r="K104" s="61">
        <v>0</v>
      </c>
      <c r="L104" s="61">
        <v>2.16</v>
      </c>
      <c r="M104" s="61">
        <v>2.16</v>
      </c>
      <c r="N104" s="61">
        <v>1.48</v>
      </c>
      <c r="O104" s="61">
        <v>0.5</v>
      </c>
      <c r="P104" s="62">
        <f t="shared" si="9"/>
        <v>0.6851851851851851</v>
      </c>
      <c r="Q104" s="62">
        <f t="shared" si="10"/>
        <v>-0.6621621621621622</v>
      </c>
    </row>
    <row r="105" spans="1:17" s="45" customFormat="1" ht="16.5" customHeight="1">
      <c r="A105" s="64"/>
      <c r="B105" s="64"/>
      <c r="C105" s="64"/>
      <c r="D105" s="64"/>
      <c r="E105" s="64"/>
      <c r="F105" s="64"/>
      <c r="G105" s="66" t="s">
        <v>216</v>
      </c>
      <c r="H105" s="61">
        <v>22.63</v>
      </c>
      <c r="I105" s="61">
        <v>32.41</v>
      </c>
      <c r="J105" s="61">
        <v>4.88</v>
      </c>
      <c r="K105" s="61">
        <v>1740.74</v>
      </c>
      <c r="L105" s="61">
        <v>436.95</v>
      </c>
      <c r="M105" s="61">
        <v>464.71</v>
      </c>
      <c r="N105" s="61">
        <v>632.03</v>
      </c>
      <c r="O105" s="61">
        <v>2778.9</v>
      </c>
      <c r="P105" s="62">
        <f t="shared" si="9"/>
        <v>1.3600525058638722</v>
      </c>
      <c r="Q105" s="62">
        <f t="shared" si="10"/>
        <v>3.396784962739111</v>
      </c>
    </row>
    <row r="106" spans="1:17" s="45" customFormat="1" ht="16.5" customHeight="1">
      <c r="A106" s="65"/>
      <c r="B106" s="65"/>
      <c r="C106" s="65"/>
      <c r="D106" s="65"/>
      <c r="E106" s="65"/>
      <c r="F106" s="65"/>
      <c r="G106" s="57" t="s">
        <v>217</v>
      </c>
      <c r="H106" s="58">
        <v>3390.43</v>
      </c>
      <c r="I106" s="58">
        <v>2409.06</v>
      </c>
      <c r="J106" s="58">
        <v>1911.78</v>
      </c>
      <c r="K106" s="58">
        <v>2070.92</v>
      </c>
      <c r="L106" s="58">
        <f>SUM(L107:L113)</f>
        <v>2057.98</v>
      </c>
      <c r="M106" s="58">
        <v>2640.97</v>
      </c>
      <c r="N106" s="58">
        <v>1984.7</v>
      </c>
      <c r="O106" s="58">
        <f>SUM(O107:O113)</f>
        <v>3380.5099999999993</v>
      </c>
      <c r="P106" s="59">
        <f t="shared" si="9"/>
        <v>0.7515041821754886</v>
      </c>
      <c r="Q106" s="59">
        <f t="shared" si="10"/>
        <v>0.7032851312540935</v>
      </c>
    </row>
    <row r="107" spans="1:17" s="45" customFormat="1" ht="16.5" customHeight="1">
      <c r="A107" s="64"/>
      <c r="B107" s="64"/>
      <c r="C107" s="64"/>
      <c r="D107" s="64"/>
      <c r="E107" s="64"/>
      <c r="F107" s="64"/>
      <c r="G107" s="66" t="s">
        <v>218</v>
      </c>
      <c r="H107" s="61">
        <v>359.5</v>
      </c>
      <c r="I107" s="61">
        <v>267.27</v>
      </c>
      <c r="J107" s="61">
        <v>382.68</v>
      </c>
      <c r="K107" s="61">
        <v>443.32</v>
      </c>
      <c r="L107" s="61">
        <v>510.37</v>
      </c>
      <c r="M107" s="61">
        <v>414.12</v>
      </c>
      <c r="N107" s="61">
        <v>238.43</v>
      </c>
      <c r="O107" s="61">
        <v>811.18</v>
      </c>
      <c r="P107" s="62">
        <f t="shared" si="9"/>
        <v>0.5757509900511929</v>
      </c>
      <c r="Q107" s="62">
        <f t="shared" si="10"/>
        <v>2.4021725454011658</v>
      </c>
    </row>
    <row r="108" spans="1:17" s="44" customFormat="1" ht="16.5" customHeight="1">
      <c r="A108" s="64"/>
      <c r="B108" s="64"/>
      <c r="C108" s="64"/>
      <c r="D108" s="64"/>
      <c r="E108" s="64"/>
      <c r="F108" s="64"/>
      <c r="G108" s="66" t="s">
        <v>219</v>
      </c>
      <c r="H108" s="61">
        <v>449.06</v>
      </c>
      <c r="I108" s="61">
        <v>288.97</v>
      </c>
      <c r="J108" s="61">
        <v>375.74</v>
      </c>
      <c r="K108" s="61">
        <v>267.45</v>
      </c>
      <c r="L108" s="61">
        <v>671.13</v>
      </c>
      <c r="M108" s="61">
        <v>688.39</v>
      </c>
      <c r="N108" s="61">
        <v>613.84</v>
      </c>
      <c r="O108" s="61">
        <v>734.52</v>
      </c>
      <c r="P108" s="62">
        <f t="shared" si="9"/>
        <v>0.8917038306773777</v>
      </c>
      <c r="Q108" s="62">
        <f t="shared" si="10"/>
        <v>0.19659846213997123</v>
      </c>
    </row>
    <row r="109" spans="1:17" s="45" customFormat="1" ht="16.5" customHeight="1">
      <c r="A109" s="64"/>
      <c r="B109" s="64"/>
      <c r="C109" s="64"/>
      <c r="D109" s="64"/>
      <c r="E109" s="64"/>
      <c r="F109" s="64"/>
      <c r="G109" s="60" t="s">
        <v>220</v>
      </c>
      <c r="H109" s="61">
        <v>2063.23</v>
      </c>
      <c r="I109" s="61">
        <v>1194.77</v>
      </c>
      <c r="J109" s="61">
        <v>1003.36</v>
      </c>
      <c r="K109" s="61">
        <v>872.51</v>
      </c>
      <c r="L109" s="61">
        <v>618.69</v>
      </c>
      <c r="M109" s="61">
        <v>962.27</v>
      </c>
      <c r="N109" s="61">
        <v>645.82</v>
      </c>
      <c r="O109" s="61">
        <v>1085.6</v>
      </c>
      <c r="P109" s="62">
        <f t="shared" si="9"/>
        <v>0.6711421950180303</v>
      </c>
      <c r="Q109" s="62">
        <f t="shared" si="10"/>
        <v>0.6809637360255176</v>
      </c>
    </row>
    <row r="110" spans="1:17" s="45" customFormat="1" ht="16.5" customHeight="1">
      <c r="A110" s="64"/>
      <c r="B110" s="64"/>
      <c r="C110" s="64"/>
      <c r="D110" s="64"/>
      <c r="E110" s="64"/>
      <c r="F110" s="64"/>
      <c r="G110" s="60" t="s">
        <v>221</v>
      </c>
      <c r="H110" s="61">
        <v>516.64</v>
      </c>
      <c r="I110" s="61">
        <v>656.05</v>
      </c>
      <c r="J110" s="61">
        <v>128</v>
      </c>
      <c r="K110" s="61">
        <v>442.01</v>
      </c>
      <c r="L110" s="61">
        <v>207.86</v>
      </c>
      <c r="M110" s="61">
        <v>437.76</v>
      </c>
      <c r="N110" s="61">
        <v>411.78</v>
      </c>
      <c r="O110" s="61">
        <v>427.43</v>
      </c>
      <c r="P110" s="62">
        <f t="shared" si="9"/>
        <v>0.9406524122807017</v>
      </c>
      <c r="Q110" s="62">
        <f t="shared" si="10"/>
        <v>0.038005731215697836</v>
      </c>
    </row>
    <row r="111" spans="1:17" s="45" customFormat="1" ht="16.5" customHeight="1">
      <c r="A111" s="64"/>
      <c r="B111" s="64"/>
      <c r="C111" s="64"/>
      <c r="D111" s="64"/>
      <c r="E111" s="64"/>
      <c r="F111" s="64"/>
      <c r="G111" s="60" t="s">
        <v>222</v>
      </c>
      <c r="H111" s="61">
        <v>2</v>
      </c>
      <c r="I111" s="61">
        <v>2</v>
      </c>
      <c r="J111" s="61">
        <v>2</v>
      </c>
      <c r="K111" s="61">
        <v>1.97</v>
      </c>
      <c r="L111" s="61">
        <v>5</v>
      </c>
      <c r="M111" s="61">
        <v>5</v>
      </c>
      <c r="N111" s="61">
        <v>5</v>
      </c>
      <c r="O111" s="61">
        <v>319.78</v>
      </c>
      <c r="P111" s="62">
        <f t="shared" si="9"/>
        <v>1</v>
      </c>
      <c r="Q111" s="62">
        <f t="shared" si="10"/>
        <v>62.955999999999996</v>
      </c>
    </row>
    <row r="112" spans="1:17" s="45" customFormat="1" ht="16.5" customHeight="1">
      <c r="A112" s="64"/>
      <c r="B112" s="64"/>
      <c r="C112" s="64"/>
      <c r="D112" s="64"/>
      <c r="E112" s="64"/>
      <c r="F112" s="64"/>
      <c r="G112" s="60" t="s">
        <v>223</v>
      </c>
      <c r="H112" s="61">
        <f>R114/10000</f>
        <v>0</v>
      </c>
      <c r="I112" s="58">
        <v>0</v>
      </c>
      <c r="J112" s="61">
        <v>20</v>
      </c>
      <c r="K112" s="61">
        <v>43.66</v>
      </c>
      <c r="L112" s="61">
        <v>42.93</v>
      </c>
      <c r="M112" s="61">
        <v>131.43</v>
      </c>
      <c r="N112" s="61">
        <v>69.82</v>
      </c>
      <c r="O112" s="61">
        <v>0</v>
      </c>
      <c r="P112" s="62">
        <f t="shared" si="9"/>
        <v>0.5312333561591721</v>
      </c>
      <c r="Q112" s="62">
        <f t="shared" si="10"/>
        <v>-1</v>
      </c>
    </row>
    <row r="113" spans="1:17" s="45" customFormat="1" ht="16.5" customHeight="1">
      <c r="A113" s="64"/>
      <c r="B113" s="64"/>
      <c r="C113" s="64"/>
      <c r="D113" s="64"/>
      <c r="E113" s="64"/>
      <c r="F113" s="64"/>
      <c r="G113" s="60" t="s">
        <v>224</v>
      </c>
      <c r="H113" s="61"/>
      <c r="I113" s="58"/>
      <c r="J113" s="61">
        <v>0</v>
      </c>
      <c r="K113" s="61">
        <v>0</v>
      </c>
      <c r="L113" s="61">
        <v>2</v>
      </c>
      <c r="M113" s="61">
        <v>2</v>
      </c>
      <c r="N113" s="61">
        <v>0</v>
      </c>
      <c r="O113" s="61">
        <v>2</v>
      </c>
      <c r="P113" s="58">
        <v>0</v>
      </c>
      <c r="Q113" s="62">
        <v>1</v>
      </c>
    </row>
    <row r="114" spans="1:17" s="45" customFormat="1" ht="16.5" customHeight="1">
      <c r="A114" s="65"/>
      <c r="B114" s="65"/>
      <c r="C114" s="65"/>
      <c r="D114" s="65"/>
      <c r="E114" s="65"/>
      <c r="F114" s="65"/>
      <c r="G114" s="57" t="s">
        <v>225</v>
      </c>
      <c r="H114" s="58">
        <v>253.31</v>
      </c>
      <c r="I114" s="58">
        <v>110.73</v>
      </c>
      <c r="J114" s="58">
        <v>177.89</v>
      </c>
      <c r="K114" s="58">
        <v>1773.94</v>
      </c>
      <c r="L114" s="58">
        <f>SUM(L115:L117)</f>
        <v>6239.28</v>
      </c>
      <c r="M114" s="58">
        <v>5900.13</v>
      </c>
      <c r="N114" s="58">
        <v>5234.63</v>
      </c>
      <c r="O114" s="58">
        <f>SUM(O115:O117)</f>
        <v>1533.7900000000002</v>
      </c>
      <c r="P114" s="59">
        <f t="shared" si="9"/>
        <v>0.8872058751247854</v>
      </c>
      <c r="Q114" s="59">
        <f t="shared" si="10"/>
        <v>-0.7069917071502665</v>
      </c>
    </row>
    <row r="115" spans="1:17" s="45" customFormat="1" ht="16.5" customHeight="1">
      <c r="A115" s="64"/>
      <c r="B115" s="64"/>
      <c r="C115" s="64"/>
      <c r="D115" s="64"/>
      <c r="E115" s="64"/>
      <c r="F115" s="64"/>
      <c r="G115" s="66" t="s">
        <v>226</v>
      </c>
      <c r="H115" s="61">
        <v>139.91</v>
      </c>
      <c r="I115" s="61">
        <v>57.58</v>
      </c>
      <c r="J115" s="61">
        <v>64.99</v>
      </c>
      <c r="K115" s="61">
        <v>1705.27</v>
      </c>
      <c r="L115" s="61">
        <v>6100.78</v>
      </c>
      <c r="M115" s="61">
        <v>5761.63</v>
      </c>
      <c r="N115" s="61">
        <v>5102.27</v>
      </c>
      <c r="O115" s="61">
        <v>1438.65</v>
      </c>
      <c r="P115" s="62">
        <f t="shared" si="9"/>
        <v>0.8855601626623022</v>
      </c>
      <c r="Q115" s="62">
        <f t="shared" si="10"/>
        <v>-0.7180372657660218</v>
      </c>
    </row>
    <row r="116" spans="1:17" s="44" customFormat="1" ht="16.5" customHeight="1">
      <c r="A116" s="64"/>
      <c r="B116" s="64"/>
      <c r="C116" s="64"/>
      <c r="D116" s="64"/>
      <c r="E116" s="64"/>
      <c r="F116" s="64"/>
      <c r="G116" s="66" t="s">
        <v>227</v>
      </c>
      <c r="H116" s="61">
        <v>107.4</v>
      </c>
      <c r="I116" s="61">
        <v>47.15</v>
      </c>
      <c r="J116" s="61">
        <v>107.4</v>
      </c>
      <c r="K116" s="61">
        <v>62.15</v>
      </c>
      <c r="L116" s="61">
        <v>134.5</v>
      </c>
      <c r="M116" s="61">
        <v>134.5</v>
      </c>
      <c r="N116" s="61">
        <v>128.36</v>
      </c>
      <c r="O116" s="61">
        <v>95.14</v>
      </c>
      <c r="P116" s="62">
        <f t="shared" si="9"/>
        <v>0.9543494423791823</v>
      </c>
      <c r="Q116" s="62">
        <f t="shared" si="10"/>
        <v>-0.2588033655344345</v>
      </c>
    </row>
    <row r="117" spans="1:17" s="45" customFormat="1" ht="16.5" customHeight="1">
      <c r="A117" s="64"/>
      <c r="B117" s="64"/>
      <c r="C117" s="64"/>
      <c r="D117" s="64"/>
      <c r="E117" s="64"/>
      <c r="F117" s="64"/>
      <c r="G117" s="60" t="s">
        <v>228</v>
      </c>
      <c r="H117" s="61">
        <v>6</v>
      </c>
      <c r="I117" s="61">
        <v>6</v>
      </c>
      <c r="J117" s="61">
        <v>5.5</v>
      </c>
      <c r="K117" s="61">
        <v>6.52</v>
      </c>
      <c r="L117" s="61">
        <v>4</v>
      </c>
      <c r="M117" s="61">
        <v>4</v>
      </c>
      <c r="N117" s="61">
        <v>4</v>
      </c>
      <c r="O117" s="61">
        <v>0</v>
      </c>
      <c r="P117" s="62">
        <f t="shared" si="9"/>
        <v>1</v>
      </c>
      <c r="Q117" s="62">
        <f t="shared" si="10"/>
        <v>-1</v>
      </c>
    </row>
    <row r="118" spans="1:17" s="45" customFormat="1" ht="16.5" customHeight="1">
      <c r="A118" s="65"/>
      <c r="B118" s="65"/>
      <c r="C118" s="65"/>
      <c r="D118" s="65"/>
      <c r="E118" s="65"/>
      <c r="F118" s="65"/>
      <c r="G118" s="57" t="s">
        <v>229</v>
      </c>
      <c r="H118" s="58">
        <v>258.65</v>
      </c>
      <c r="I118" s="58">
        <v>214.6</v>
      </c>
      <c r="J118" s="58">
        <v>72.72</v>
      </c>
      <c r="K118" s="58">
        <v>37.89</v>
      </c>
      <c r="L118" s="58">
        <f>SUM(L119:L123)</f>
        <v>5035.61</v>
      </c>
      <c r="M118" s="58">
        <v>183.61</v>
      </c>
      <c r="N118" s="58">
        <v>168.67</v>
      </c>
      <c r="O118" s="58">
        <f>SUM(O119:O123)</f>
        <v>4930.5</v>
      </c>
      <c r="P118" s="59">
        <f t="shared" si="9"/>
        <v>0.9186318827950546</v>
      </c>
      <c r="Q118" s="59">
        <f t="shared" si="10"/>
        <v>28.231635738424146</v>
      </c>
    </row>
    <row r="119" spans="1:17" s="45" customFormat="1" ht="16.5" customHeight="1">
      <c r="A119" s="65"/>
      <c r="B119" s="65"/>
      <c r="C119" s="65"/>
      <c r="D119" s="65"/>
      <c r="E119" s="65"/>
      <c r="F119" s="65"/>
      <c r="G119" s="60" t="s">
        <v>230</v>
      </c>
      <c r="H119" s="58"/>
      <c r="I119" s="58"/>
      <c r="J119" s="61">
        <v>0</v>
      </c>
      <c r="K119" s="61">
        <v>10.44</v>
      </c>
      <c r="L119" s="61">
        <v>4958.33</v>
      </c>
      <c r="M119" s="61">
        <v>99.27</v>
      </c>
      <c r="N119" s="61">
        <v>128.06</v>
      </c>
      <c r="O119" s="61">
        <v>4855.31</v>
      </c>
      <c r="P119" s="62">
        <f t="shared" si="9"/>
        <v>1.290017125012592</v>
      </c>
      <c r="Q119" s="62">
        <f t="shared" si="10"/>
        <v>36.91433702951742</v>
      </c>
    </row>
    <row r="120" spans="1:17" s="44" customFormat="1" ht="16.5" customHeight="1">
      <c r="A120" s="64"/>
      <c r="B120" s="64"/>
      <c r="C120" s="64"/>
      <c r="D120" s="64"/>
      <c r="E120" s="64"/>
      <c r="F120" s="64"/>
      <c r="G120" s="60" t="s">
        <v>231</v>
      </c>
      <c r="H120" s="61">
        <v>58.65</v>
      </c>
      <c r="I120" s="58">
        <v>0</v>
      </c>
      <c r="J120" s="61">
        <v>0</v>
      </c>
      <c r="K120" s="61">
        <v>0</v>
      </c>
      <c r="L120" s="61"/>
      <c r="M120" s="61">
        <v>0</v>
      </c>
      <c r="N120" s="61">
        <v>0</v>
      </c>
      <c r="O120" s="61">
        <v>0</v>
      </c>
      <c r="P120" s="61">
        <v>0</v>
      </c>
      <c r="Q120" s="61">
        <v>0</v>
      </c>
    </row>
    <row r="121" spans="1:17" s="44" customFormat="1" ht="16.5" customHeight="1">
      <c r="A121" s="64"/>
      <c r="B121" s="64"/>
      <c r="C121" s="64"/>
      <c r="D121" s="64"/>
      <c r="E121" s="64"/>
      <c r="F121" s="64"/>
      <c r="G121" s="60" t="s">
        <v>232</v>
      </c>
      <c r="H121" s="61">
        <v>200</v>
      </c>
      <c r="I121" s="61">
        <v>200</v>
      </c>
      <c r="J121" s="61">
        <v>0</v>
      </c>
      <c r="K121" s="61">
        <v>0</v>
      </c>
      <c r="L121" s="61"/>
      <c r="M121" s="61">
        <v>0</v>
      </c>
      <c r="N121" s="61">
        <v>0</v>
      </c>
      <c r="O121" s="61">
        <v>0</v>
      </c>
      <c r="P121" s="61">
        <v>0</v>
      </c>
      <c r="Q121" s="61">
        <v>0</v>
      </c>
    </row>
    <row r="122" spans="1:17" s="45" customFormat="1" ht="16.5" customHeight="1">
      <c r="A122" s="64"/>
      <c r="B122" s="64"/>
      <c r="C122" s="64"/>
      <c r="D122" s="64"/>
      <c r="E122" s="64"/>
      <c r="F122" s="64"/>
      <c r="G122" s="60" t="s">
        <v>233</v>
      </c>
      <c r="H122" s="61">
        <v>0</v>
      </c>
      <c r="I122" s="61">
        <v>1</v>
      </c>
      <c r="J122" s="61">
        <v>10.7</v>
      </c>
      <c r="K122" s="61">
        <v>11.7</v>
      </c>
      <c r="L122" s="61">
        <v>14.5</v>
      </c>
      <c r="M122" s="61">
        <v>16.7</v>
      </c>
      <c r="N122" s="61">
        <v>14.68</v>
      </c>
      <c r="O122" s="61">
        <v>0</v>
      </c>
      <c r="P122" s="62">
        <f t="shared" si="9"/>
        <v>0.8790419161676647</v>
      </c>
      <c r="Q122" s="61">
        <v>0</v>
      </c>
    </row>
    <row r="123" spans="1:17" s="45" customFormat="1" ht="16.5" customHeight="1">
      <c r="A123" s="64"/>
      <c r="B123" s="64"/>
      <c r="C123" s="64"/>
      <c r="D123" s="64"/>
      <c r="E123" s="64"/>
      <c r="F123" s="64"/>
      <c r="G123" s="66" t="s">
        <v>234</v>
      </c>
      <c r="H123" s="61">
        <f>R125/10000</f>
        <v>0</v>
      </c>
      <c r="I123" s="61">
        <v>13.6</v>
      </c>
      <c r="J123" s="61">
        <v>62.02</v>
      </c>
      <c r="K123" s="61">
        <v>15.75</v>
      </c>
      <c r="L123" s="61">
        <v>62.78</v>
      </c>
      <c r="M123" s="61">
        <v>67.64</v>
      </c>
      <c r="N123" s="61">
        <v>25.92</v>
      </c>
      <c r="O123" s="61">
        <v>75.19</v>
      </c>
      <c r="P123" s="62">
        <f t="shared" si="9"/>
        <v>0.3832052040212892</v>
      </c>
      <c r="Q123" s="62">
        <f t="shared" si="10"/>
        <v>1.9008487654320985</v>
      </c>
    </row>
    <row r="124" spans="1:17" s="45" customFormat="1" ht="16.5" customHeight="1">
      <c r="A124" s="65"/>
      <c r="B124" s="65"/>
      <c r="C124" s="65"/>
      <c r="D124" s="65"/>
      <c r="E124" s="65"/>
      <c r="F124" s="65"/>
      <c r="G124" s="57" t="s">
        <v>235</v>
      </c>
      <c r="H124" s="58">
        <v>6.33</v>
      </c>
      <c r="I124" s="58">
        <v>456.31</v>
      </c>
      <c r="J124" s="58">
        <v>6.6</v>
      </c>
      <c r="K124" s="58">
        <v>8.52</v>
      </c>
      <c r="L124" s="58">
        <v>44.35</v>
      </c>
      <c r="M124" s="58">
        <v>53.1</v>
      </c>
      <c r="N124" s="58">
        <v>44.49</v>
      </c>
      <c r="O124" s="58">
        <v>10</v>
      </c>
      <c r="P124" s="59">
        <f t="shared" si="9"/>
        <v>0.8378531073446328</v>
      </c>
      <c r="Q124" s="59">
        <f t="shared" si="10"/>
        <v>-0.7752303888514274</v>
      </c>
    </row>
    <row r="125" spans="1:17" s="45" customFormat="1" ht="16.5" customHeight="1">
      <c r="A125" s="64"/>
      <c r="B125" s="64"/>
      <c r="C125" s="64"/>
      <c r="D125" s="64"/>
      <c r="E125" s="64"/>
      <c r="F125" s="64"/>
      <c r="G125" s="60" t="s">
        <v>236</v>
      </c>
      <c r="H125" s="61">
        <f>R127/10000</f>
        <v>0</v>
      </c>
      <c r="I125" s="58">
        <v>0</v>
      </c>
      <c r="J125" s="61">
        <v>0</v>
      </c>
      <c r="K125" s="61">
        <v>0.6</v>
      </c>
      <c r="L125" s="61">
        <v>0</v>
      </c>
      <c r="M125" s="61">
        <v>0</v>
      </c>
      <c r="N125" s="61">
        <v>0</v>
      </c>
      <c r="O125" s="61">
        <v>0</v>
      </c>
      <c r="P125" s="58">
        <v>0</v>
      </c>
      <c r="Q125" s="58">
        <v>0</v>
      </c>
    </row>
    <row r="126" spans="1:17" s="44" customFormat="1" ht="16.5" customHeight="1">
      <c r="A126" s="64"/>
      <c r="B126" s="64"/>
      <c r="C126" s="64"/>
      <c r="D126" s="64"/>
      <c r="E126" s="64"/>
      <c r="F126" s="64"/>
      <c r="G126" s="60" t="s">
        <v>237</v>
      </c>
      <c r="H126" s="61">
        <v>4.6</v>
      </c>
      <c r="I126" s="61">
        <v>4.6</v>
      </c>
      <c r="J126" s="61">
        <v>4.6</v>
      </c>
      <c r="K126" s="61">
        <v>0</v>
      </c>
      <c r="L126" s="61">
        <v>6.35</v>
      </c>
      <c r="M126" s="61">
        <v>6.35</v>
      </c>
      <c r="N126" s="61">
        <v>1.35</v>
      </c>
      <c r="O126" s="61">
        <v>0</v>
      </c>
      <c r="P126" s="62">
        <f aca="true" t="shared" si="11" ref="P126:P130">N126/M126</f>
        <v>0.21259842519685043</v>
      </c>
      <c r="Q126" s="61">
        <v>0</v>
      </c>
    </row>
    <row r="127" spans="1:17" s="45" customFormat="1" ht="16.5" customHeight="1">
      <c r="A127" s="64"/>
      <c r="B127" s="64"/>
      <c r="C127" s="64"/>
      <c r="D127" s="64"/>
      <c r="E127" s="64"/>
      <c r="F127" s="64"/>
      <c r="G127" s="60" t="s">
        <v>238</v>
      </c>
      <c r="H127" s="61">
        <v>1.73</v>
      </c>
      <c r="I127" s="61">
        <v>1.71</v>
      </c>
      <c r="J127" s="61">
        <v>2</v>
      </c>
      <c r="K127" s="61">
        <v>1.92</v>
      </c>
      <c r="L127" s="61">
        <v>2</v>
      </c>
      <c r="M127" s="61">
        <v>2</v>
      </c>
      <c r="N127" s="61">
        <v>0.35</v>
      </c>
      <c r="O127" s="61">
        <v>0</v>
      </c>
      <c r="P127" s="62">
        <f t="shared" si="11"/>
        <v>0.175</v>
      </c>
      <c r="Q127" s="61">
        <v>0</v>
      </c>
    </row>
    <row r="128" spans="1:17" s="45" customFormat="1" ht="16.5" customHeight="1">
      <c r="A128" s="64"/>
      <c r="B128" s="64"/>
      <c r="C128" s="64"/>
      <c r="D128" s="64"/>
      <c r="E128" s="64"/>
      <c r="F128" s="64"/>
      <c r="G128" s="60" t="s">
        <v>239</v>
      </c>
      <c r="H128" s="61" t="e">
        <f>#REF!/10000</f>
        <v>#REF!</v>
      </c>
      <c r="I128" s="61">
        <v>450</v>
      </c>
      <c r="J128" s="61">
        <v>0</v>
      </c>
      <c r="K128" s="61">
        <v>6</v>
      </c>
      <c r="L128" s="61">
        <v>36</v>
      </c>
      <c r="M128" s="61">
        <v>44.75</v>
      </c>
      <c r="N128" s="61">
        <v>42.79</v>
      </c>
      <c r="O128" s="61">
        <v>10</v>
      </c>
      <c r="P128" s="62">
        <f t="shared" si="11"/>
        <v>0.9562011173184357</v>
      </c>
      <c r="Q128" s="62">
        <f>O128/N128-1</f>
        <v>-0.7663005375087637</v>
      </c>
    </row>
    <row r="129" spans="1:17" s="45" customFormat="1" ht="16.5" customHeight="1">
      <c r="A129" s="64"/>
      <c r="B129" s="64"/>
      <c r="C129" s="64"/>
      <c r="D129" s="64"/>
      <c r="E129" s="64"/>
      <c r="F129" s="64"/>
      <c r="G129" s="57" t="s">
        <v>240</v>
      </c>
      <c r="H129" s="58">
        <v>351.3</v>
      </c>
      <c r="I129" s="58">
        <v>186.36</v>
      </c>
      <c r="J129" s="58">
        <v>446.24</v>
      </c>
      <c r="K129" s="58">
        <v>153.11</v>
      </c>
      <c r="L129" s="58">
        <f>L130</f>
        <v>888.41</v>
      </c>
      <c r="M129" s="58">
        <v>916.81</v>
      </c>
      <c r="N129" s="58">
        <v>496.12</v>
      </c>
      <c r="O129" s="58">
        <v>171.85</v>
      </c>
      <c r="P129" s="59">
        <f t="shared" si="11"/>
        <v>0.541137204000829</v>
      </c>
      <c r="Q129" s="59">
        <f aca="true" t="shared" si="12" ref="Q126:Q130">O129/N129-1</f>
        <v>-0.6536120293477385</v>
      </c>
    </row>
    <row r="130" spans="1:17" s="45" customFormat="1" ht="16.5" customHeight="1">
      <c r="A130" s="64"/>
      <c r="B130" s="64"/>
      <c r="C130" s="64"/>
      <c r="D130" s="64"/>
      <c r="E130" s="64"/>
      <c r="F130" s="64"/>
      <c r="G130" s="60" t="s">
        <v>241</v>
      </c>
      <c r="H130" s="61">
        <v>351.3</v>
      </c>
      <c r="I130" s="61">
        <v>184.36</v>
      </c>
      <c r="J130" s="61">
        <v>446.24</v>
      </c>
      <c r="K130" s="61">
        <v>153.11</v>
      </c>
      <c r="L130" s="61">
        <v>888.41</v>
      </c>
      <c r="M130" s="61">
        <v>916.81</v>
      </c>
      <c r="N130" s="61">
        <v>496.12</v>
      </c>
      <c r="O130" s="61">
        <v>171.85</v>
      </c>
      <c r="P130" s="62">
        <f t="shared" si="11"/>
        <v>0.541137204000829</v>
      </c>
      <c r="Q130" s="62">
        <f t="shared" si="12"/>
        <v>-0.6536120293477385</v>
      </c>
    </row>
    <row r="131" spans="1:17" s="45" customFormat="1" ht="16.5" customHeight="1">
      <c r="A131" s="64"/>
      <c r="B131" s="64"/>
      <c r="C131" s="64"/>
      <c r="D131" s="64"/>
      <c r="E131" s="64"/>
      <c r="F131" s="64"/>
      <c r="G131" s="60" t="s">
        <v>242</v>
      </c>
      <c r="H131" s="58">
        <v>0</v>
      </c>
      <c r="I131" s="61">
        <v>2</v>
      </c>
      <c r="J131" s="58">
        <v>0</v>
      </c>
      <c r="K131" s="58">
        <v>0</v>
      </c>
      <c r="L131" s="58"/>
      <c r="M131" s="58">
        <v>0</v>
      </c>
      <c r="N131" s="58">
        <v>0</v>
      </c>
      <c r="O131" s="58">
        <v>0</v>
      </c>
      <c r="P131" s="58">
        <v>0</v>
      </c>
      <c r="Q131" s="58">
        <v>0</v>
      </c>
    </row>
    <row r="132" spans="1:17" s="45" customFormat="1" ht="16.5" customHeight="1">
      <c r="A132" s="65"/>
      <c r="B132" s="65"/>
      <c r="C132" s="65"/>
      <c r="D132" s="65"/>
      <c r="E132" s="65"/>
      <c r="F132" s="65"/>
      <c r="G132" s="57" t="s">
        <v>243</v>
      </c>
      <c r="H132" s="58">
        <v>1000</v>
      </c>
      <c r="I132" s="58">
        <v>22</v>
      </c>
      <c r="J132" s="58">
        <v>760</v>
      </c>
      <c r="K132" s="58">
        <v>0</v>
      </c>
      <c r="L132" s="58">
        <v>1200</v>
      </c>
      <c r="M132" s="58">
        <v>0</v>
      </c>
      <c r="N132" s="58">
        <v>0</v>
      </c>
      <c r="O132" s="58">
        <v>1000</v>
      </c>
      <c r="P132" s="58">
        <v>0</v>
      </c>
      <c r="Q132" s="58">
        <v>0</v>
      </c>
    </row>
    <row r="133" spans="1:17" s="45" customFormat="1" ht="16.5" customHeight="1">
      <c r="A133" s="64"/>
      <c r="B133" s="64"/>
      <c r="C133" s="64"/>
      <c r="D133" s="64"/>
      <c r="E133" s="64"/>
      <c r="F133" s="64"/>
      <c r="G133" s="57" t="s">
        <v>70</v>
      </c>
      <c r="H133" s="58">
        <v>3.94</v>
      </c>
      <c r="I133" s="58">
        <v>400.78</v>
      </c>
      <c r="J133" s="58">
        <v>2.66</v>
      </c>
      <c r="K133" s="58">
        <v>1.55</v>
      </c>
      <c r="L133" s="58">
        <v>2.41</v>
      </c>
      <c r="M133" s="58">
        <v>2.41</v>
      </c>
      <c r="N133" s="58">
        <v>1.19</v>
      </c>
      <c r="O133" s="58">
        <v>2.56</v>
      </c>
      <c r="P133" s="59">
        <f aca="true" t="shared" si="13" ref="P133:P141">N133/M133</f>
        <v>0.4937759336099585</v>
      </c>
      <c r="Q133" s="59">
        <f>O133/N133-1</f>
        <v>1.151260504201681</v>
      </c>
    </row>
    <row r="134" spans="1:17" s="45" customFormat="1" ht="16.5" customHeight="1">
      <c r="A134" s="64"/>
      <c r="B134" s="64"/>
      <c r="C134" s="64"/>
      <c r="D134" s="64"/>
      <c r="E134" s="64"/>
      <c r="F134" s="64"/>
      <c r="G134" s="60" t="s">
        <v>244</v>
      </c>
      <c r="H134" s="58"/>
      <c r="I134" s="58"/>
      <c r="J134" s="58">
        <v>0</v>
      </c>
      <c r="K134" s="58">
        <v>0</v>
      </c>
      <c r="L134" s="61">
        <v>2.16</v>
      </c>
      <c r="M134" s="61">
        <v>2.16</v>
      </c>
      <c r="N134" s="61">
        <v>1</v>
      </c>
      <c r="O134" s="61">
        <v>2.06</v>
      </c>
      <c r="P134" s="62">
        <f t="shared" si="13"/>
        <v>0.4629629629629629</v>
      </c>
      <c r="Q134" s="62">
        <f aca="true" t="shared" si="14" ref="Q133:Q139">O134/N134-1</f>
        <v>1.06</v>
      </c>
    </row>
    <row r="135" spans="1:17" s="45" customFormat="1" ht="16.5" customHeight="1">
      <c r="A135" s="64"/>
      <c r="B135" s="64"/>
      <c r="C135" s="64"/>
      <c r="D135" s="64"/>
      <c r="E135" s="64"/>
      <c r="F135" s="64"/>
      <c r="G135" s="60" t="s">
        <v>245</v>
      </c>
      <c r="H135" s="61" t="e">
        <f>#REF!/10000</f>
        <v>#REF!</v>
      </c>
      <c r="I135" s="61">
        <v>400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58">
        <v>0</v>
      </c>
      <c r="Q135" s="58">
        <v>0</v>
      </c>
    </row>
    <row r="136" spans="1:17" s="45" customFormat="1" ht="16.5" customHeight="1">
      <c r="A136" s="64"/>
      <c r="B136" s="64"/>
      <c r="C136" s="64"/>
      <c r="D136" s="64"/>
      <c r="E136" s="64"/>
      <c r="F136" s="64"/>
      <c r="G136" s="60" t="s">
        <v>246</v>
      </c>
      <c r="H136" s="61">
        <v>3.94</v>
      </c>
      <c r="I136" s="61">
        <v>0.78</v>
      </c>
      <c r="J136" s="61">
        <v>2.66</v>
      </c>
      <c r="K136" s="61">
        <v>1.55</v>
      </c>
      <c r="L136" s="61">
        <v>0.25</v>
      </c>
      <c r="M136" s="61">
        <v>0.25</v>
      </c>
      <c r="N136" s="61">
        <v>0.19</v>
      </c>
      <c r="O136" s="61">
        <v>0.5</v>
      </c>
      <c r="P136" s="62">
        <f t="shared" si="13"/>
        <v>0.76</v>
      </c>
      <c r="Q136" s="62">
        <f t="shared" si="14"/>
        <v>1.6315789473684212</v>
      </c>
    </row>
    <row r="137" spans="1:17" s="45" customFormat="1" ht="16.5" customHeight="1">
      <c r="A137" s="64"/>
      <c r="B137" s="64"/>
      <c r="C137" s="64"/>
      <c r="D137" s="64"/>
      <c r="E137" s="64"/>
      <c r="F137" s="64"/>
      <c r="G137" s="57" t="s">
        <v>72</v>
      </c>
      <c r="H137" s="58">
        <v>1688.91</v>
      </c>
      <c r="I137" s="58">
        <v>303.03</v>
      </c>
      <c r="J137" s="58">
        <v>1323.16</v>
      </c>
      <c r="K137" s="58">
        <v>423.28</v>
      </c>
      <c r="L137" s="58">
        <f>SUM(L138:L140)</f>
        <v>434.09000000000003</v>
      </c>
      <c r="M137" s="58">
        <v>416.03</v>
      </c>
      <c r="N137" s="58">
        <v>365.66</v>
      </c>
      <c r="O137" s="58">
        <f>SUM(O138:O140)</f>
        <v>414.11</v>
      </c>
      <c r="P137" s="59">
        <f t="shared" si="13"/>
        <v>0.8789270004566979</v>
      </c>
      <c r="Q137" s="59">
        <f t="shared" si="14"/>
        <v>0.13250013673904726</v>
      </c>
    </row>
    <row r="138" spans="1:17" s="45" customFormat="1" ht="16.5" customHeight="1">
      <c r="A138" s="64"/>
      <c r="B138" s="64"/>
      <c r="C138" s="64"/>
      <c r="D138" s="64"/>
      <c r="E138" s="64"/>
      <c r="F138" s="64"/>
      <c r="G138" s="60" t="s">
        <v>247</v>
      </c>
      <c r="H138" s="61">
        <v>1352.99</v>
      </c>
      <c r="I138" s="61">
        <v>10.53</v>
      </c>
      <c r="J138" s="61">
        <v>954.8</v>
      </c>
      <c r="K138" s="61">
        <v>107.87</v>
      </c>
      <c r="L138" s="61">
        <v>11.58</v>
      </c>
      <c r="M138" s="61">
        <v>11.58</v>
      </c>
      <c r="N138" s="61">
        <v>6.82</v>
      </c>
      <c r="O138" s="61">
        <v>10.75</v>
      </c>
      <c r="P138" s="62">
        <f t="shared" si="13"/>
        <v>0.5889464594127807</v>
      </c>
      <c r="Q138" s="62">
        <f t="shared" si="14"/>
        <v>0.5762463343108504</v>
      </c>
    </row>
    <row r="139" spans="1:17" s="45" customFormat="1" ht="16.5" customHeight="1">
      <c r="A139" s="64"/>
      <c r="B139" s="64"/>
      <c r="C139" s="64"/>
      <c r="D139" s="64"/>
      <c r="E139" s="64"/>
      <c r="F139" s="64"/>
      <c r="G139" s="60" t="s">
        <v>248</v>
      </c>
      <c r="H139" s="61">
        <v>335.92</v>
      </c>
      <c r="I139" s="61">
        <v>292.5</v>
      </c>
      <c r="J139" s="61">
        <v>368.36</v>
      </c>
      <c r="K139" s="61">
        <v>315.41</v>
      </c>
      <c r="L139" s="61">
        <v>420.35</v>
      </c>
      <c r="M139" s="61">
        <v>403.75</v>
      </c>
      <c r="N139" s="61">
        <v>358.83</v>
      </c>
      <c r="O139" s="61">
        <v>401.3</v>
      </c>
      <c r="P139" s="62">
        <f t="shared" si="13"/>
        <v>0.8887430340557275</v>
      </c>
      <c r="Q139" s="62">
        <f t="shared" si="14"/>
        <v>0.11835688208901152</v>
      </c>
    </row>
    <row r="140" spans="1:17" s="45" customFormat="1" ht="16.5" customHeight="1">
      <c r="A140" s="64"/>
      <c r="B140" s="64"/>
      <c r="C140" s="64"/>
      <c r="D140" s="64"/>
      <c r="E140" s="64"/>
      <c r="F140" s="64"/>
      <c r="G140" s="60" t="s">
        <v>249</v>
      </c>
      <c r="H140" s="61"/>
      <c r="I140" s="61"/>
      <c r="J140" s="61">
        <v>0</v>
      </c>
      <c r="K140" s="61">
        <v>0</v>
      </c>
      <c r="L140" s="61">
        <v>2.16</v>
      </c>
      <c r="M140" s="61">
        <v>0.7</v>
      </c>
      <c r="N140" s="61">
        <v>0</v>
      </c>
      <c r="O140" s="61">
        <v>2.06</v>
      </c>
      <c r="P140" s="61">
        <v>0</v>
      </c>
      <c r="Q140" s="58">
        <v>0</v>
      </c>
    </row>
    <row r="141" spans="1:17" s="45" customFormat="1" ht="16.5" customHeight="1">
      <c r="A141" s="64"/>
      <c r="B141" s="64"/>
      <c r="C141" s="64"/>
      <c r="D141" s="64"/>
      <c r="E141" s="64"/>
      <c r="F141" s="64"/>
      <c r="G141" s="57" t="s">
        <v>73</v>
      </c>
      <c r="H141" s="61"/>
      <c r="I141" s="61"/>
      <c r="J141" s="61"/>
      <c r="K141" s="61"/>
      <c r="L141" s="58">
        <v>0</v>
      </c>
      <c r="M141" s="58">
        <v>52</v>
      </c>
      <c r="N141" s="58">
        <v>52</v>
      </c>
      <c r="O141" s="58">
        <f>SUM(O142:O143)</f>
        <v>179.49</v>
      </c>
      <c r="P141" s="59">
        <f t="shared" si="13"/>
        <v>1</v>
      </c>
      <c r="Q141" s="59">
        <f>O141/N141-1</f>
        <v>2.4517307692307693</v>
      </c>
    </row>
    <row r="142" spans="1:17" s="45" customFormat="1" ht="16.5" customHeight="1">
      <c r="A142" s="64"/>
      <c r="B142" s="64"/>
      <c r="C142" s="64"/>
      <c r="D142" s="64"/>
      <c r="E142" s="64"/>
      <c r="F142" s="64"/>
      <c r="G142" s="60" t="s">
        <v>250</v>
      </c>
      <c r="H142" s="61"/>
      <c r="I142" s="61"/>
      <c r="J142" s="61"/>
      <c r="K142" s="61"/>
      <c r="L142" s="58"/>
      <c r="M142" s="58">
        <v>0</v>
      </c>
      <c r="N142" s="58">
        <v>0</v>
      </c>
      <c r="O142" s="61">
        <v>127.49</v>
      </c>
      <c r="P142" s="58">
        <v>0</v>
      </c>
      <c r="Q142" s="58">
        <v>0</v>
      </c>
    </row>
    <row r="143" spans="1:17" s="45" customFormat="1" ht="16.5" customHeight="1">
      <c r="A143" s="64"/>
      <c r="B143" s="64"/>
      <c r="C143" s="64"/>
      <c r="D143" s="64"/>
      <c r="E143" s="64"/>
      <c r="F143" s="64"/>
      <c r="G143" s="60" t="s">
        <v>251</v>
      </c>
      <c r="H143" s="61"/>
      <c r="I143" s="61"/>
      <c r="J143" s="61"/>
      <c r="K143" s="61"/>
      <c r="L143" s="61">
        <v>0</v>
      </c>
      <c r="M143" s="61">
        <v>52</v>
      </c>
      <c r="N143" s="61">
        <v>52</v>
      </c>
      <c r="O143" s="61">
        <v>52</v>
      </c>
      <c r="P143" s="62">
        <f aca="true" t="shared" si="15" ref="P143:P146">N143/M143</f>
        <v>1</v>
      </c>
      <c r="Q143" s="58">
        <v>0</v>
      </c>
    </row>
    <row r="144" spans="1:17" s="45" customFormat="1" ht="16.5" customHeight="1">
      <c r="A144" s="64"/>
      <c r="B144" s="64"/>
      <c r="C144" s="64"/>
      <c r="D144" s="64"/>
      <c r="E144" s="64"/>
      <c r="F144" s="64"/>
      <c r="G144" s="57" t="s">
        <v>75</v>
      </c>
      <c r="H144" s="58">
        <v>0</v>
      </c>
      <c r="I144" s="58">
        <v>0</v>
      </c>
      <c r="J144" s="58">
        <v>0</v>
      </c>
      <c r="K144" s="58">
        <v>2.08</v>
      </c>
      <c r="L144" s="58">
        <v>15</v>
      </c>
      <c r="M144" s="58">
        <v>13.62</v>
      </c>
      <c r="N144" s="58">
        <v>13.62</v>
      </c>
      <c r="O144" s="58">
        <v>13.62</v>
      </c>
      <c r="P144" s="59">
        <f t="shared" si="15"/>
        <v>1</v>
      </c>
      <c r="Q144" s="58">
        <v>0</v>
      </c>
    </row>
    <row r="145" spans="1:17" s="45" customFormat="1" ht="16.5" customHeight="1">
      <c r="A145" s="64"/>
      <c r="B145" s="64"/>
      <c r="C145" s="64"/>
      <c r="D145" s="64"/>
      <c r="E145" s="64"/>
      <c r="F145" s="64"/>
      <c r="G145" s="60" t="s">
        <v>252</v>
      </c>
      <c r="H145" s="58"/>
      <c r="I145" s="58"/>
      <c r="J145" s="61">
        <v>0</v>
      </c>
      <c r="K145" s="61">
        <v>2.08</v>
      </c>
      <c r="L145" s="61">
        <v>15</v>
      </c>
      <c r="M145" s="61">
        <v>13.62</v>
      </c>
      <c r="N145" s="61">
        <v>13.62</v>
      </c>
      <c r="O145" s="61">
        <v>13.62</v>
      </c>
      <c r="P145" s="62">
        <f t="shared" si="15"/>
        <v>1</v>
      </c>
      <c r="Q145" s="58">
        <v>0</v>
      </c>
    </row>
    <row r="146" spans="1:17" s="44" customFormat="1" ht="16.5" customHeight="1">
      <c r="A146" s="70" t="s">
        <v>87</v>
      </c>
      <c r="B146" s="71">
        <f>B6+B18+B27+B29</f>
        <v>45122.36</v>
      </c>
      <c r="C146" s="71">
        <f>C6+C18+C27+C29</f>
        <v>49673.07000000001</v>
      </c>
      <c r="D146" s="71">
        <f>D6+D18+D27+D29</f>
        <v>44516.32000000001</v>
      </c>
      <c r="E146" s="72">
        <f>C146/B146</f>
        <v>1.1008526593023948</v>
      </c>
      <c r="F146" s="72">
        <f>D146/C146-1</f>
        <v>-0.10381379689236037</v>
      </c>
      <c r="G146" s="70" t="s">
        <v>94</v>
      </c>
      <c r="H146" s="58" t="e">
        <f>H7+H32+H40+H49+H55+H61+H78+H90+H99+H106+H114+H118+H124+#REF!+#REF!+#REF!+#REF!+#REF!+#REF!+#REF!</f>
        <v>#REF!</v>
      </c>
      <c r="I146" s="58" t="e">
        <f>I7+I32+I40+I49+I55+I61+I78+I90+I99+I106+I114+I118+I124+#REF!+#REF!+#REF!+#REF!+#REF!+#REF!+#REF!</f>
        <v>#REF!</v>
      </c>
      <c r="J146" s="58" t="e">
        <f>J7+J32+J40+J49+J55+J61+J78+J90+J99+J106+J114+J118+J124+#REF!+#REF!+#REF!+#REF!+#REF!+#REF!+#REF!+#REF!+#REF!</f>
        <v>#REF!</v>
      </c>
      <c r="K146" s="58" t="e">
        <f>K7+K32+K40+K49+K55+K61+K78+K90+K99+K106+K114+K118+K124+#REF!+#REF!+#REF!+#REF!+#REF!+#REF!+#REF!+#REF!+#REF!</f>
        <v>#REF!</v>
      </c>
      <c r="L146" s="58" t="e">
        <f>L7+L32+L40+L49+L55+L61+L78+L90+L99+L106+L114+L118+L124+#REF!+#REF!+#REF!+#REF!+#REF!+#REF!+#REF!+#REF!+#REF!</f>
        <v>#REF!</v>
      </c>
      <c r="M146" s="58">
        <f aca="true" t="shared" si="16" ref="M146:O146">M6</f>
        <v>40276.68000000001</v>
      </c>
      <c r="N146" s="58">
        <f t="shared" si="16"/>
        <v>36490.8</v>
      </c>
      <c r="O146" s="58">
        <f t="shared" si="16"/>
        <v>44496.0989</v>
      </c>
      <c r="P146" s="59">
        <f t="shared" si="15"/>
        <v>0.9060031760313908</v>
      </c>
      <c r="Q146" s="59">
        <f>O146/N146-1</f>
        <v>0.21937855295033248</v>
      </c>
    </row>
    <row r="147" spans="1:17" s="44" customFormat="1" ht="16.5" customHeight="1">
      <c r="A147" s="57" t="s">
        <v>253</v>
      </c>
      <c r="B147" s="57"/>
      <c r="C147" s="57"/>
      <c r="D147" s="57"/>
      <c r="E147" s="73"/>
      <c r="F147" s="73"/>
      <c r="G147" s="57"/>
      <c r="H147" s="74"/>
      <c r="I147" s="74"/>
      <c r="J147" s="74"/>
      <c r="K147" s="74"/>
      <c r="L147" s="74"/>
      <c r="M147" s="74"/>
      <c r="N147" s="74"/>
      <c r="O147" s="74"/>
      <c r="P147" s="62"/>
      <c r="Q147" s="62"/>
    </row>
    <row r="148" spans="1:17" s="44" customFormat="1" ht="16.5" customHeight="1">
      <c r="A148" s="57" t="s">
        <v>254</v>
      </c>
      <c r="B148" s="58">
        <v>0</v>
      </c>
      <c r="C148" s="58">
        <v>0</v>
      </c>
      <c r="D148" s="71">
        <v>4554</v>
      </c>
      <c r="E148" s="58">
        <v>0</v>
      </c>
      <c r="F148" s="72">
        <v>1</v>
      </c>
      <c r="G148" s="57" t="s">
        <v>255</v>
      </c>
      <c r="H148" s="74"/>
      <c r="I148" s="74"/>
      <c r="J148" s="74"/>
      <c r="K148" s="74"/>
      <c r="L148" s="74"/>
      <c r="M148" s="58">
        <v>0</v>
      </c>
      <c r="N148" s="58">
        <v>0</v>
      </c>
      <c r="O148" s="71">
        <v>4518</v>
      </c>
      <c r="P148" s="58">
        <v>0</v>
      </c>
      <c r="Q148" s="72">
        <v>1</v>
      </c>
    </row>
    <row r="149" spans="1:17" s="44" customFormat="1" ht="16.5" customHeight="1">
      <c r="A149" s="60" t="s">
        <v>82</v>
      </c>
      <c r="B149" s="58">
        <v>0</v>
      </c>
      <c r="C149" s="58">
        <v>0</v>
      </c>
      <c r="D149" s="75">
        <v>4518</v>
      </c>
      <c r="E149" s="61">
        <v>0</v>
      </c>
      <c r="F149" s="76">
        <v>1</v>
      </c>
      <c r="G149" s="60" t="s">
        <v>90</v>
      </c>
      <c r="H149" s="74"/>
      <c r="I149" s="74"/>
      <c r="J149" s="74"/>
      <c r="K149" s="74"/>
      <c r="L149" s="74"/>
      <c r="M149" s="58">
        <v>0</v>
      </c>
      <c r="N149" s="58">
        <v>0</v>
      </c>
      <c r="O149" s="75">
        <v>4518</v>
      </c>
      <c r="P149" s="58">
        <v>0</v>
      </c>
      <c r="Q149" s="76">
        <v>1</v>
      </c>
    </row>
    <row r="150" spans="1:17" s="44" customFormat="1" ht="16.5" customHeight="1">
      <c r="A150" s="60" t="s">
        <v>84</v>
      </c>
      <c r="B150" s="58">
        <v>0</v>
      </c>
      <c r="C150" s="58">
        <v>0</v>
      </c>
      <c r="D150" s="75">
        <v>36</v>
      </c>
      <c r="E150" s="61">
        <v>0</v>
      </c>
      <c r="F150" s="76">
        <v>1</v>
      </c>
      <c r="G150" s="60" t="s">
        <v>92</v>
      </c>
      <c r="H150" s="74"/>
      <c r="I150" s="74"/>
      <c r="J150" s="74"/>
      <c r="K150" s="74"/>
      <c r="L150" s="74"/>
      <c r="M150" s="58">
        <v>0</v>
      </c>
      <c r="N150" s="58">
        <v>0</v>
      </c>
      <c r="O150" s="58">
        <v>0</v>
      </c>
      <c r="P150" s="58">
        <v>0</v>
      </c>
      <c r="Q150" s="58">
        <v>0</v>
      </c>
    </row>
    <row r="151" spans="1:256" s="46" customFormat="1" ht="16.5" customHeight="1">
      <c r="A151" s="77"/>
      <c r="B151" s="77"/>
      <c r="C151" s="77"/>
      <c r="D151" s="78"/>
      <c r="E151" s="79"/>
      <c r="F151" s="80"/>
      <c r="G151" s="74"/>
      <c r="H151" s="74"/>
      <c r="I151" s="74"/>
      <c r="J151" s="74"/>
      <c r="K151" s="74"/>
      <c r="L151" s="74"/>
      <c r="M151" s="74"/>
      <c r="N151" s="74"/>
      <c r="O151" s="74"/>
      <c r="P151" s="62"/>
      <c r="Q151" s="62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pans="1:256" s="46" customFormat="1" ht="16.5" customHeight="1">
      <c r="A152" s="70" t="s">
        <v>256</v>
      </c>
      <c r="B152" s="71">
        <f>B146+B148</f>
        <v>45122.36</v>
      </c>
      <c r="C152" s="71">
        <f>C146+C148</f>
        <v>49673.07000000001</v>
      </c>
      <c r="D152" s="71">
        <f>D146+D148</f>
        <v>49070.32000000001</v>
      </c>
      <c r="E152" s="72">
        <f>C152/B152</f>
        <v>1.1008526593023948</v>
      </c>
      <c r="F152" s="72">
        <f>D152/C152-1</f>
        <v>-0.012134341606025112</v>
      </c>
      <c r="G152" s="70" t="s">
        <v>257</v>
      </c>
      <c r="H152" s="81"/>
      <c r="I152" s="81"/>
      <c r="J152" s="81"/>
      <c r="K152" s="81"/>
      <c r="L152" s="81"/>
      <c r="M152" s="58">
        <f aca="true" t="shared" si="17" ref="M152:O152">M146+M148</f>
        <v>40276.68000000001</v>
      </c>
      <c r="N152" s="58">
        <f t="shared" si="17"/>
        <v>36490.8</v>
      </c>
      <c r="O152" s="58">
        <f t="shared" si="17"/>
        <v>49014.0989</v>
      </c>
      <c r="P152" s="59">
        <f>N152/M152</f>
        <v>0.9060031760313908</v>
      </c>
      <c r="Q152" s="59">
        <f>O152/N152-1</f>
        <v>0.34319058228375354</v>
      </c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  <c r="GO152" s="83"/>
      <c r="GP152" s="83"/>
      <c r="GQ152" s="83"/>
      <c r="GR152" s="83"/>
      <c r="GS152" s="83"/>
      <c r="GT152" s="83"/>
      <c r="GU152" s="83"/>
      <c r="GV152" s="83"/>
      <c r="GW152" s="83"/>
      <c r="GX152" s="83"/>
      <c r="GY152" s="83"/>
      <c r="GZ152" s="83"/>
      <c r="HA152" s="83"/>
      <c r="HB152" s="83"/>
      <c r="HC152" s="83"/>
      <c r="HD152" s="83"/>
      <c r="HE152" s="83"/>
      <c r="HF152" s="83"/>
      <c r="HG152" s="83"/>
      <c r="HH152" s="83"/>
      <c r="HI152" s="83"/>
      <c r="HJ152" s="83"/>
      <c r="HK152" s="83"/>
      <c r="HL152" s="83"/>
      <c r="HM152" s="83"/>
      <c r="HN152" s="83"/>
      <c r="HO152" s="83"/>
      <c r="HP152" s="83"/>
      <c r="HQ152" s="83"/>
      <c r="HR152" s="83"/>
      <c r="HS152" s="83"/>
      <c r="HT152" s="83"/>
      <c r="HU152" s="83"/>
      <c r="HV152" s="83"/>
      <c r="HW152" s="83"/>
      <c r="HX152" s="83"/>
      <c r="HY152" s="83"/>
      <c r="HZ152" s="83"/>
      <c r="IA152" s="83"/>
      <c r="IB152" s="83"/>
      <c r="IC152" s="83"/>
      <c r="ID152" s="83"/>
      <c r="IE152" s="83"/>
      <c r="IF152" s="83"/>
      <c r="IG152" s="83"/>
      <c r="IH152" s="83"/>
      <c r="II152" s="83"/>
      <c r="IJ152" s="83"/>
      <c r="IK152" s="83"/>
      <c r="IL152" s="83"/>
      <c r="IM152" s="83"/>
      <c r="IN152" s="83"/>
      <c r="IO152" s="83"/>
      <c r="IP152" s="83"/>
      <c r="IQ152" s="83"/>
      <c r="IR152" s="83"/>
      <c r="IS152" s="83"/>
      <c r="IT152" s="83"/>
      <c r="IU152" s="83"/>
      <c r="IV152" s="83"/>
    </row>
    <row r="153" spans="1:256" s="46" customFormat="1" ht="16.5" customHeight="1">
      <c r="A153" s="42"/>
      <c r="B153" s="42"/>
      <c r="C153" s="42"/>
      <c r="D153" s="8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67"/>
      <c r="Q153" s="67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  <c r="GD153" s="83"/>
      <c r="GE153" s="83"/>
      <c r="GF153" s="83"/>
      <c r="GG153" s="83"/>
      <c r="GH153" s="83"/>
      <c r="GI153" s="83"/>
      <c r="GJ153" s="83"/>
      <c r="GK153" s="83"/>
      <c r="GL153" s="83"/>
      <c r="GM153" s="83"/>
      <c r="GN153" s="83"/>
      <c r="GO153" s="83"/>
      <c r="GP153" s="83"/>
      <c r="GQ153" s="83"/>
      <c r="GR153" s="83"/>
      <c r="GS153" s="83"/>
      <c r="GT153" s="83"/>
      <c r="GU153" s="83"/>
      <c r="GV153" s="83"/>
      <c r="GW153" s="83"/>
      <c r="GX153" s="83"/>
      <c r="GY153" s="83"/>
      <c r="GZ153" s="83"/>
      <c r="HA153" s="83"/>
      <c r="HB153" s="83"/>
      <c r="HC153" s="83"/>
      <c r="HD153" s="83"/>
      <c r="HE153" s="83"/>
      <c r="HF153" s="83"/>
      <c r="HG153" s="83"/>
      <c r="HH153" s="83"/>
      <c r="HI153" s="83"/>
      <c r="HJ153" s="83"/>
      <c r="HK153" s="83"/>
      <c r="HL153" s="83"/>
      <c r="HM153" s="83"/>
      <c r="HN153" s="83"/>
      <c r="HO153" s="83"/>
      <c r="HP153" s="83"/>
      <c r="HQ153" s="83"/>
      <c r="HR153" s="83"/>
      <c r="HS153" s="83"/>
      <c r="HT153" s="83"/>
      <c r="HU153" s="83"/>
      <c r="HV153" s="83"/>
      <c r="HW153" s="83"/>
      <c r="HX153" s="83"/>
      <c r="HY153" s="83"/>
      <c r="HZ153" s="83"/>
      <c r="IA153" s="83"/>
      <c r="IB153" s="83"/>
      <c r="IC153" s="83"/>
      <c r="ID153" s="83"/>
      <c r="IE153" s="83"/>
      <c r="IF153" s="83"/>
      <c r="IG153" s="83"/>
      <c r="IH153" s="83"/>
      <c r="II153" s="83"/>
      <c r="IJ153" s="83"/>
      <c r="IK153" s="83"/>
      <c r="IL153" s="83"/>
      <c r="IM153" s="83"/>
      <c r="IN153" s="83"/>
      <c r="IO153" s="83"/>
      <c r="IP153" s="83"/>
      <c r="IQ153" s="83"/>
      <c r="IR153" s="83"/>
      <c r="IS153" s="83"/>
      <c r="IT153" s="83"/>
      <c r="IU153" s="83"/>
      <c r="IV153" s="83"/>
    </row>
    <row r="154" spans="1:256" s="46" customFormat="1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67"/>
      <c r="Q154" s="67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  <c r="GD154" s="83"/>
      <c r="GE154" s="83"/>
      <c r="GF154" s="83"/>
      <c r="GG154" s="83"/>
      <c r="GH154" s="83"/>
      <c r="GI154" s="83"/>
      <c r="GJ154" s="83"/>
      <c r="GK154" s="83"/>
      <c r="GL154" s="83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83"/>
      <c r="HK154" s="83"/>
      <c r="HL154" s="83"/>
      <c r="HM154" s="83"/>
      <c r="HN154" s="83"/>
      <c r="HO154" s="83"/>
      <c r="HP154" s="83"/>
      <c r="HQ154" s="83"/>
      <c r="HR154" s="83"/>
      <c r="HS154" s="83"/>
      <c r="HT154" s="83"/>
      <c r="HU154" s="83"/>
      <c r="HV154" s="83"/>
      <c r="HW154" s="83"/>
      <c r="HX154" s="83"/>
      <c r="HY154" s="83"/>
      <c r="HZ154" s="83"/>
      <c r="IA154" s="83"/>
      <c r="IB154" s="83"/>
      <c r="IC154" s="83"/>
      <c r="ID154" s="83"/>
      <c r="IE154" s="83"/>
      <c r="IF154" s="83"/>
      <c r="IG154" s="83"/>
      <c r="IH154" s="83"/>
      <c r="II154" s="83"/>
      <c r="IJ154" s="83"/>
      <c r="IK154" s="83"/>
      <c r="IL154" s="83"/>
      <c r="IM154" s="83"/>
      <c r="IN154" s="83"/>
      <c r="IO154" s="83"/>
      <c r="IP154" s="83"/>
      <c r="IQ154" s="83"/>
      <c r="IR154" s="83"/>
      <c r="IS154" s="83"/>
      <c r="IT154" s="83"/>
      <c r="IU154" s="83"/>
      <c r="IV154" s="83"/>
    </row>
    <row r="155" spans="1:17" ht="21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67"/>
      <c r="Q155" s="67"/>
    </row>
    <row r="156" spans="16:17" s="42" customFormat="1" ht="21.75" customHeight="1">
      <c r="P156" s="67"/>
      <c r="Q156" s="67"/>
    </row>
    <row r="157" spans="16:17" s="42" customFormat="1" ht="21.75" customHeight="1">
      <c r="P157" s="67"/>
      <c r="Q157" s="67"/>
    </row>
    <row r="158" spans="16:17" s="42" customFormat="1" ht="21.75" customHeight="1">
      <c r="P158" s="67"/>
      <c r="Q158" s="67"/>
    </row>
    <row r="159" spans="16:17" s="42" customFormat="1" ht="21.75" customHeight="1">
      <c r="P159" s="67"/>
      <c r="Q159" s="67"/>
    </row>
    <row r="160" spans="16:17" s="42" customFormat="1" ht="21.75" customHeight="1">
      <c r="P160" s="67"/>
      <c r="Q160" s="67"/>
    </row>
    <row r="161" spans="16:17" s="42" customFormat="1" ht="21.75" customHeight="1">
      <c r="P161" s="67"/>
      <c r="Q161" s="67"/>
    </row>
    <row r="162" spans="16:17" s="42" customFormat="1" ht="21.75" customHeight="1">
      <c r="P162" s="67"/>
      <c r="Q162" s="67"/>
    </row>
    <row r="163" spans="16:17" s="42" customFormat="1" ht="21.75" customHeight="1">
      <c r="P163" s="67"/>
      <c r="Q163" s="67"/>
    </row>
    <row r="164" spans="16:17" s="42" customFormat="1" ht="21.75" customHeight="1">
      <c r="P164" s="67"/>
      <c r="Q164" s="67"/>
    </row>
    <row r="165" spans="16:17" s="42" customFormat="1" ht="21.75" customHeight="1">
      <c r="P165" s="67"/>
      <c r="Q165" s="67"/>
    </row>
    <row r="166" spans="16:17" s="42" customFormat="1" ht="21.75" customHeight="1">
      <c r="P166" s="67"/>
      <c r="Q166" s="67"/>
    </row>
    <row r="167" spans="16:17" s="42" customFormat="1" ht="21.75" customHeight="1">
      <c r="P167" s="67"/>
      <c r="Q167" s="67"/>
    </row>
    <row r="168" spans="16:17" s="42" customFormat="1" ht="21.75" customHeight="1">
      <c r="P168" s="67"/>
      <c r="Q168" s="67"/>
    </row>
    <row r="169" spans="16:17" s="42" customFormat="1" ht="21.75" customHeight="1">
      <c r="P169" s="67"/>
      <c r="Q169" s="67"/>
    </row>
    <row r="170" spans="16:17" s="42" customFormat="1" ht="21.75" customHeight="1">
      <c r="P170" s="67"/>
      <c r="Q170" s="67"/>
    </row>
    <row r="171" spans="16:17" s="42" customFormat="1" ht="21.75" customHeight="1">
      <c r="P171" s="67"/>
      <c r="Q171" s="67"/>
    </row>
    <row r="172" spans="16:17" s="42" customFormat="1" ht="21.75" customHeight="1">
      <c r="P172" s="67"/>
      <c r="Q172" s="67"/>
    </row>
    <row r="173" spans="16:17" s="42" customFormat="1" ht="21.75" customHeight="1">
      <c r="P173" s="67"/>
      <c r="Q173" s="67"/>
    </row>
    <row r="174" spans="16:17" s="42" customFormat="1" ht="21.75" customHeight="1">
      <c r="P174" s="67"/>
      <c r="Q174" s="67"/>
    </row>
    <row r="175" spans="16:17" s="42" customFormat="1" ht="21.75" customHeight="1">
      <c r="P175" s="67"/>
      <c r="Q175" s="67"/>
    </row>
    <row r="176" spans="16:17" s="42" customFormat="1" ht="21.75" customHeight="1">
      <c r="P176" s="67"/>
      <c r="Q176" s="67"/>
    </row>
    <row r="177" spans="16:17" s="42" customFormat="1" ht="21.75" customHeight="1">
      <c r="P177" s="67"/>
      <c r="Q177" s="67"/>
    </row>
    <row r="178" spans="16:17" s="42" customFormat="1" ht="27.75" customHeight="1">
      <c r="P178" s="67"/>
      <c r="Q178" s="67"/>
    </row>
    <row r="179" spans="16:17" s="42" customFormat="1" ht="27.75" customHeight="1">
      <c r="P179" s="67"/>
      <c r="Q179" s="67"/>
    </row>
    <row r="180" spans="16:17" s="42" customFormat="1" ht="27.75" customHeight="1">
      <c r="P180" s="67"/>
      <c r="Q180" s="67"/>
    </row>
    <row r="181" spans="16:17" s="42" customFormat="1" ht="27.75" customHeight="1">
      <c r="P181" s="67"/>
      <c r="Q181" s="67"/>
    </row>
    <row r="182" spans="16:17" s="42" customFormat="1" ht="27.75" customHeight="1">
      <c r="P182" s="67"/>
      <c r="Q182" s="67"/>
    </row>
    <row r="183" spans="16:17" s="42" customFormat="1" ht="27.75" customHeight="1">
      <c r="P183" s="67"/>
      <c r="Q183" s="67"/>
    </row>
    <row r="184" spans="16:17" s="42" customFormat="1" ht="27.75" customHeight="1">
      <c r="P184" s="67"/>
      <c r="Q184" s="67"/>
    </row>
    <row r="185" spans="16:17" s="42" customFormat="1" ht="27.75" customHeight="1">
      <c r="P185" s="67"/>
      <c r="Q185" s="67"/>
    </row>
    <row r="186" spans="16:17" s="42" customFormat="1" ht="27.75" customHeight="1">
      <c r="P186" s="67"/>
      <c r="Q186" s="67"/>
    </row>
    <row r="187" spans="16:17" s="42" customFormat="1" ht="27.75" customHeight="1">
      <c r="P187" s="67"/>
      <c r="Q187" s="67"/>
    </row>
    <row r="188" spans="16:17" s="42" customFormat="1" ht="27.75" customHeight="1">
      <c r="P188" s="67"/>
      <c r="Q188" s="67"/>
    </row>
    <row r="189" spans="16:17" s="42" customFormat="1" ht="27.75" customHeight="1">
      <c r="P189" s="67"/>
      <c r="Q189" s="67"/>
    </row>
    <row r="190" spans="16:17" s="42" customFormat="1" ht="27.75" customHeight="1">
      <c r="P190" s="67"/>
      <c r="Q190" s="67"/>
    </row>
    <row r="191" spans="16:17" s="42" customFormat="1" ht="27.75" customHeight="1">
      <c r="P191" s="67"/>
      <c r="Q191" s="67"/>
    </row>
    <row r="192" spans="16:17" s="42" customFormat="1" ht="27.75" customHeight="1">
      <c r="P192" s="67"/>
      <c r="Q192" s="67"/>
    </row>
    <row r="193" spans="16:17" s="42" customFormat="1" ht="27.75" customHeight="1">
      <c r="P193" s="67"/>
      <c r="Q193" s="67"/>
    </row>
    <row r="194" spans="16:17" s="42" customFormat="1" ht="27.75" customHeight="1">
      <c r="P194" s="67"/>
      <c r="Q194" s="67"/>
    </row>
    <row r="195" spans="16:17" s="42" customFormat="1" ht="27.75" customHeight="1">
      <c r="P195" s="67"/>
      <c r="Q195" s="67"/>
    </row>
    <row r="196" spans="16:17" s="42" customFormat="1" ht="27.75" customHeight="1">
      <c r="P196" s="67"/>
      <c r="Q196" s="67"/>
    </row>
    <row r="197" spans="16:17" s="42" customFormat="1" ht="27.75" customHeight="1">
      <c r="P197" s="67"/>
      <c r="Q197" s="67"/>
    </row>
    <row r="198" spans="16:17" s="42" customFormat="1" ht="27.75" customHeight="1">
      <c r="P198" s="67"/>
      <c r="Q198" s="67"/>
    </row>
    <row r="199" spans="16:17" s="42" customFormat="1" ht="27.75" customHeight="1">
      <c r="P199" s="67"/>
      <c r="Q199" s="67"/>
    </row>
    <row r="200" spans="16:17" s="42" customFormat="1" ht="27.75" customHeight="1">
      <c r="P200" s="67"/>
      <c r="Q200" s="67"/>
    </row>
    <row r="201" spans="16:17" s="42" customFormat="1" ht="27.75" customHeight="1">
      <c r="P201" s="67"/>
      <c r="Q201" s="67"/>
    </row>
    <row r="202" spans="16:17" s="42" customFormat="1" ht="27.75" customHeight="1">
      <c r="P202" s="67"/>
      <c r="Q202" s="67"/>
    </row>
    <row r="203" spans="16:17" s="42" customFormat="1" ht="27.75" customHeight="1">
      <c r="P203" s="67"/>
      <c r="Q203" s="67"/>
    </row>
    <row r="204" spans="16:17" s="42" customFormat="1" ht="27.75" customHeight="1">
      <c r="P204" s="67"/>
      <c r="Q204" s="67"/>
    </row>
    <row r="205" spans="16:17" s="42" customFormat="1" ht="27.75" customHeight="1">
      <c r="P205" s="67"/>
      <c r="Q205" s="67"/>
    </row>
    <row r="206" spans="16:17" s="42" customFormat="1" ht="27.75" customHeight="1">
      <c r="P206" s="67"/>
      <c r="Q206" s="67"/>
    </row>
    <row r="207" spans="16:17" s="42" customFormat="1" ht="27.75" customHeight="1">
      <c r="P207" s="67"/>
      <c r="Q207" s="67"/>
    </row>
    <row r="208" spans="16:17" s="42" customFormat="1" ht="27.75" customHeight="1">
      <c r="P208" s="67"/>
      <c r="Q208" s="67"/>
    </row>
    <row r="209" spans="16:17" s="42" customFormat="1" ht="27.75" customHeight="1">
      <c r="P209" s="67"/>
      <c r="Q209" s="67"/>
    </row>
    <row r="210" spans="16:17" s="42" customFormat="1" ht="27.75" customHeight="1">
      <c r="P210" s="67"/>
      <c r="Q210" s="67"/>
    </row>
    <row r="211" spans="16:17" s="42" customFormat="1" ht="27.75" customHeight="1">
      <c r="P211" s="67"/>
      <c r="Q211" s="67"/>
    </row>
    <row r="212" spans="16:17" s="42" customFormat="1" ht="27.75" customHeight="1">
      <c r="P212" s="67"/>
      <c r="Q212" s="67"/>
    </row>
    <row r="213" spans="16:17" s="42" customFormat="1" ht="27.75" customHeight="1">
      <c r="P213" s="67"/>
      <c r="Q213" s="67"/>
    </row>
    <row r="214" spans="16:17" s="42" customFormat="1" ht="27.75" customHeight="1">
      <c r="P214" s="67"/>
      <c r="Q214" s="67"/>
    </row>
    <row r="215" spans="16:17" s="42" customFormat="1" ht="27.75" customHeight="1">
      <c r="P215" s="67"/>
      <c r="Q215" s="67"/>
    </row>
    <row r="216" spans="16:17" s="42" customFormat="1" ht="27.75" customHeight="1">
      <c r="P216" s="67"/>
      <c r="Q216" s="67"/>
    </row>
    <row r="217" spans="16:17" s="42" customFormat="1" ht="27.75" customHeight="1">
      <c r="P217" s="67"/>
      <c r="Q217" s="67"/>
    </row>
    <row r="218" spans="16:17" s="42" customFormat="1" ht="27.75" customHeight="1">
      <c r="P218" s="67"/>
      <c r="Q218" s="67"/>
    </row>
    <row r="219" spans="16:17" s="42" customFormat="1" ht="27.75" customHeight="1">
      <c r="P219" s="67"/>
      <c r="Q219" s="67"/>
    </row>
    <row r="220" spans="16:17" s="42" customFormat="1" ht="27.75" customHeight="1">
      <c r="P220" s="67"/>
      <c r="Q220" s="67"/>
    </row>
    <row r="221" spans="16:17" s="42" customFormat="1" ht="27.75" customHeight="1">
      <c r="P221" s="67"/>
      <c r="Q221" s="67"/>
    </row>
    <row r="222" spans="16:17" s="42" customFormat="1" ht="18.75">
      <c r="P222" s="67"/>
      <c r="Q222" s="67"/>
    </row>
    <row r="223" spans="16:17" s="42" customFormat="1" ht="18.75">
      <c r="P223" s="67"/>
      <c r="Q223" s="67"/>
    </row>
    <row r="224" spans="16:17" s="42" customFormat="1" ht="18.75">
      <c r="P224" s="67"/>
      <c r="Q224" s="67"/>
    </row>
    <row r="225" spans="16:17" s="42" customFormat="1" ht="18.75">
      <c r="P225" s="67"/>
      <c r="Q225" s="67"/>
    </row>
    <row r="226" spans="16:17" s="42" customFormat="1" ht="18.75">
      <c r="P226" s="67"/>
      <c r="Q226" s="67"/>
    </row>
    <row r="227" spans="16:17" s="42" customFormat="1" ht="18.75">
      <c r="P227" s="67"/>
      <c r="Q227" s="67"/>
    </row>
    <row r="228" spans="16:17" s="42" customFormat="1" ht="18.75">
      <c r="P228" s="67"/>
      <c r="Q228" s="67"/>
    </row>
    <row r="229" spans="16:17" s="42" customFormat="1" ht="18.75">
      <c r="P229" s="67"/>
      <c r="Q229" s="67"/>
    </row>
    <row r="230" spans="16:17" s="42" customFormat="1" ht="18.75">
      <c r="P230" s="67"/>
      <c r="Q230" s="67"/>
    </row>
    <row r="231" spans="16:17" s="42" customFormat="1" ht="18.75">
      <c r="P231" s="67"/>
      <c r="Q231" s="67"/>
    </row>
    <row r="232" spans="16:17" s="42" customFormat="1" ht="18.75">
      <c r="P232" s="67"/>
      <c r="Q232" s="67"/>
    </row>
    <row r="233" spans="16:17" s="42" customFormat="1" ht="18.75">
      <c r="P233" s="67"/>
      <c r="Q233" s="67"/>
    </row>
    <row r="234" spans="16:17" s="42" customFormat="1" ht="18.75">
      <c r="P234" s="67"/>
      <c r="Q234" s="67"/>
    </row>
    <row r="235" spans="16:17" s="42" customFormat="1" ht="18.75">
      <c r="P235" s="67"/>
      <c r="Q235" s="67"/>
    </row>
    <row r="236" spans="16:17" s="42" customFormat="1" ht="18.75">
      <c r="P236" s="67"/>
      <c r="Q236" s="67"/>
    </row>
    <row r="237" spans="16:17" s="42" customFormat="1" ht="18.75">
      <c r="P237" s="67"/>
      <c r="Q237" s="67"/>
    </row>
    <row r="238" spans="16:17" s="42" customFormat="1" ht="18.75">
      <c r="P238" s="67"/>
      <c r="Q238" s="67"/>
    </row>
    <row r="239" spans="16:17" s="42" customFormat="1" ht="18.75">
      <c r="P239" s="67"/>
      <c r="Q239" s="67"/>
    </row>
    <row r="240" spans="16:17" s="42" customFormat="1" ht="18.75">
      <c r="P240" s="67"/>
      <c r="Q240" s="67"/>
    </row>
    <row r="241" spans="16:17" s="42" customFormat="1" ht="18.75">
      <c r="P241" s="67"/>
      <c r="Q241" s="67"/>
    </row>
    <row r="242" spans="16:17" s="42" customFormat="1" ht="18.75">
      <c r="P242" s="67"/>
      <c r="Q242" s="67"/>
    </row>
    <row r="243" spans="16:17" s="42" customFormat="1" ht="18.75">
      <c r="P243" s="67"/>
      <c r="Q243" s="67"/>
    </row>
    <row r="244" spans="16:17" s="42" customFormat="1" ht="18.75">
      <c r="P244" s="67"/>
      <c r="Q244" s="67"/>
    </row>
    <row r="245" spans="16:17" s="42" customFormat="1" ht="18.75">
      <c r="P245" s="67"/>
      <c r="Q245" s="67"/>
    </row>
    <row r="246" spans="16:17" s="42" customFormat="1" ht="18.75">
      <c r="P246" s="67"/>
      <c r="Q246" s="67"/>
    </row>
    <row r="247" spans="16:17" s="42" customFormat="1" ht="18.75">
      <c r="P247" s="67"/>
      <c r="Q247" s="67"/>
    </row>
    <row r="248" spans="16:17" s="42" customFormat="1" ht="18.75">
      <c r="P248" s="67"/>
      <c r="Q248" s="67"/>
    </row>
    <row r="249" spans="16:17" s="42" customFormat="1" ht="18.75">
      <c r="P249" s="67"/>
      <c r="Q249" s="67"/>
    </row>
    <row r="250" spans="16:17" s="42" customFormat="1" ht="18.75">
      <c r="P250" s="67"/>
      <c r="Q250" s="67"/>
    </row>
    <row r="251" spans="16:17" s="42" customFormat="1" ht="18.75">
      <c r="P251" s="67"/>
      <c r="Q251" s="67"/>
    </row>
    <row r="252" spans="16:17" s="42" customFormat="1" ht="18.75">
      <c r="P252" s="67"/>
      <c r="Q252" s="67"/>
    </row>
    <row r="253" spans="16:17" s="42" customFormat="1" ht="18.75">
      <c r="P253" s="67"/>
      <c r="Q253" s="67"/>
    </row>
    <row r="254" spans="16:17" s="42" customFormat="1" ht="18.75">
      <c r="P254" s="67"/>
      <c r="Q254" s="67"/>
    </row>
    <row r="255" spans="16:17" s="42" customFormat="1" ht="18.75">
      <c r="P255" s="67"/>
      <c r="Q255" s="67"/>
    </row>
    <row r="256" spans="16:17" s="42" customFormat="1" ht="18.75">
      <c r="P256" s="67"/>
      <c r="Q256" s="67"/>
    </row>
    <row r="257" spans="16:17" s="42" customFormat="1" ht="18.75">
      <c r="P257" s="67"/>
      <c r="Q257" s="67"/>
    </row>
    <row r="258" spans="16:17" s="42" customFormat="1" ht="18.75">
      <c r="P258" s="67"/>
      <c r="Q258" s="67"/>
    </row>
    <row r="259" spans="16:17" s="42" customFormat="1" ht="18.75">
      <c r="P259" s="67"/>
      <c r="Q259" s="67"/>
    </row>
    <row r="260" spans="16:17" s="42" customFormat="1" ht="18.75">
      <c r="P260" s="67"/>
      <c r="Q260" s="67"/>
    </row>
    <row r="261" spans="16:17" s="42" customFormat="1" ht="18.75">
      <c r="P261" s="67"/>
      <c r="Q261" s="67"/>
    </row>
    <row r="262" spans="16:17" s="42" customFormat="1" ht="18.75">
      <c r="P262" s="67"/>
      <c r="Q262" s="67"/>
    </row>
    <row r="263" spans="16:17" s="42" customFormat="1" ht="18.75">
      <c r="P263" s="67"/>
      <c r="Q263" s="67"/>
    </row>
    <row r="264" spans="16:17" s="42" customFormat="1" ht="18.75">
      <c r="P264" s="67"/>
      <c r="Q264" s="67"/>
    </row>
    <row r="265" spans="16:17" s="42" customFormat="1" ht="18.75">
      <c r="P265" s="67"/>
      <c r="Q265" s="67"/>
    </row>
    <row r="266" spans="16:17" s="42" customFormat="1" ht="18.75">
      <c r="P266" s="67"/>
      <c r="Q266" s="67"/>
    </row>
    <row r="267" spans="16:17" s="42" customFormat="1" ht="18.75">
      <c r="P267" s="67"/>
      <c r="Q267" s="67"/>
    </row>
    <row r="268" spans="16:17" s="42" customFormat="1" ht="18.75">
      <c r="P268" s="67"/>
      <c r="Q268" s="67"/>
    </row>
    <row r="269" spans="16:17" s="42" customFormat="1" ht="18.75">
      <c r="P269" s="67"/>
      <c r="Q269" s="67"/>
    </row>
    <row r="270" spans="16:17" s="42" customFormat="1" ht="18.75">
      <c r="P270" s="67"/>
      <c r="Q270" s="67"/>
    </row>
    <row r="271" spans="16:17" s="42" customFormat="1" ht="18.75">
      <c r="P271" s="67"/>
      <c r="Q271" s="67"/>
    </row>
    <row r="272" spans="16:17" s="42" customFormat="1" ht="18.75">
      <c r="P272" s="67"/>
      <c r="Q272" s="67"/>
    </row>
    <row r="273" spans="16:17" s="42" customFormat="1" ht="18.75">
      <c r="P273" s="67"/>
      <c r="Q273" s="67"/>
    </row>
    <row r="274" spans="16:17" s="42" customFormat="1" ht="18.75">
      <c r="P274" s="67"/>
      <c r="Q274" s="67"/>
    </row>
    <row r="275" spans="16:17" s="42" customFormat="1" ht="18.75">
      <c r="P275" s="67"/>
      <c r="Q275" s="67"/>
    </row>
    <row r="276" spans="16:17" s="42" customFormat="1" ht="18.75">
      <c r="P276" s="67"/>
      <c r="Q276" s="67"/>
    </row>
    <row r="277" spans="16:17" s="42" customFormat="1" ht="18.75">
      <c r="P277" s="67"/>
      <c r="Q277" s="67"/>
    </row>
    <row r="278" spans="16:17" s="42" customFormat="1" ht="18.75">
      <c r="P278" s="67"/>
      <c r="Q278" s="67"/>
    </row>
    <row r="279" spans="16:17" s="42" customFormat="1" ht="18.75">
      <c r="P279" s="67"/>
      <c r="Q279" s="67"/>
    </row>
    <row r="280" spans="16:17" s="42" customFormat="1" ht="18.75">
      <c r="P280" s="67"/>
      <c r="Q280" s="67"/>
    </row>
    <row r="281" spans="16:17" s="42" customFormat="1" ht="18.75">
      <c r="P281" s="67"/>
      <c r="Q281" s="67"/>
    </row>
    <row r="282" spans="16:17" s="42" customFormat="1" ht="18.75">
      <c r="P282" s="67"/>
      <c r="Q282" s="67"/>
    </row>
    <row r="283" spans="16:17" s="42" customFormat="1" ht="18.75">
      <c r="P283" s="67"/>
      <c r="Q283" s="67"/>
    </row>
    <row r="284" spans="16:17" s="42" customFormat="1" ht="18.75">
      <c r="P284" s="67"/>
      <c r="Q284" s="67"/>
    </row>
    <row r="285" spans="16:17" s="42" customFormat="1" ht="18.75">
      <c r="P285" s="67"/>
      <c r="Q285" s="67"/>
    </row>
    <row r="286" spans="16:17" s="42" customFormat="1" ht="18.75">
      <c r="P286" s="67"/>
      <c r="Q286" s="67"/>
    </row>
    <row r="287" spans="16:17" s="42" customFormat="1" ht="18.75">
      <c r="P287" s="67"/>
      <c r="Q287" s="67"/>
    </row>
    <row r="288" spans="16:17" s="42" customFormat="1" ht="18.75">
      <c r="P288" s="67"/>
      <c r="Q288" s="67"/>
    </row>
    <row r="289" spans="16:17" s="42" customFormat="1" ht="18.75">
      <c r="P289" s="67"/>
      <c r="Q289" s="67"/>
    </row>
    <row r="290" spans="16:17" s="42" customFormat="1" ht="18.75">
      <c r="P290" s="67"/>
      <c r="Q290" s="67"/>
    </row>
    <row r="291" spans="16:17" s="42" customFormat="1" ht="18.75">
      <c r="P291" s="67"/>
      <c r="Q291" s="67"/>
    </row>
    <row r="292" spans="16:17" s="42" customFormat="1" ht="18.75">
      <c r="P292" s="67"/>
      <c r="Q292" s="67"/>
    </row>
    <row r="293" spans="16:17" s="42" customFormat="1" ht="18.75">
      <c r="P293" s="67"/>
      <c r="Q293" s="67"/>
    </row>
    <row r="294" spans="16:17" s="42" customFormat="1" ht="18.75">
      <c r="P294" s="67"/>
      <c r="Q294" s="67"/>
    </row>
    <row r="295" spans="16:17" s="42" customFormat="1" ht="18.75">
      <c r="P295" s="67"/>
      <c r="Q295" s="67"/>
    </row>
    <row r="296" spans="16:17" s="42" customFormat="1" ht="18.75">
      <c r="P296" s="67"/>
      <c r="Q296" s="67"/>
    </row>
    <row r="297" spans="16:17" s="42" customFormat="1" ht="18.75">
      <c r="P297" s="67"/>
      <c r="Q297" s="67"/>
    </row>
    <row r="298" spans="16:17" s="42" customFormat="1" ht="18.75">
      <c r="P298" s="67"/>
      <c r="Q298" s="67"/>
    </row>
    <row r="299" spans="16:17" s="42" customFormat="1" ht="18.75">
      <c r="P299" s="67"/>
      <c r="Q299" s="67"/>
    </row>
    <row r="300" spans="16:17" s="42" customFormat="1" ht="18.75">
      <c r="P300" s="67"/>
      <c r="Q300" s="67"/>
    </row>
    <row r="301" spans="16:17" s="42" customFormat="1" ht="18.75">
      <c r="P301" s="67"/>
      <c r="Q301" s="67"/>
    </row>
    <row r="302" spans="16:17" s="42" customFormat="1" ht="18.75">
      <c r="P302" s="67"/>
      <c r="Q302" s="67"/>
    </row>
    <row r="303" spans="16:17" s="42" customFormat="1" ht="18.75">
      <c r="P303" s="67"/>
      <c r="Q303" s="67"/>
    </row>
    <row r="304" spans="16:17" s="42" customFormat="1" ht="18.75">
      <c r="P304" s="67"/>
      <c r="Q304" s="67"/>
    </row>
    <row r="305" spans="16:17" s="42" customFormat="1" ht="18.75">
      <c r="P305" s="67"/>
      <c r="Q305" s="67"/>
    </row>
    <row r="306" spans="16:17" s="42" customFormat="1" ht="18.75">
      <c r="P306" s="67"/>
      <c r="Q306" s="67"/>
    </row>
    <row r="307" spans="16:17" s="42" customFormat="1" ht="18.75">
      <c r="P307" s="67"/>
      <c r="Q307" s="67"/>
    </row>
    <row r="308" spans="16:17" s="42" customFormat="1" ht="18.75">
      <c r="P308" s="67"/>
      <c r="Q308" s="67"/>
    </row>
    <row r="309" spans="16:17" s="42" customFormat="1" ht="18.75">
      <c r="P309" s="67"/>
      <c r="Q309" s="67"/>
    </row>
    <row r="310" spans="16:17" s="42" customFormat="1" ht="18.75">
      <c r="P310" s="67"/>
      <c r="Q310" s="67"/>
    </row>
    <row r="311" spans="16:17" s="42" customFormat="1" ht="18.75">
      <c r="P311" s="67"/>
      <c r="Q311" s="67"/>
    </row>
    <row r="312" spans="16:17" s="42" customFormat="1" ht="18.75">
      <c r="P312" s="67"/>
      <c r="Q312" s="67"/>
    </row>
    <row r="313" spans="16:17" s="42" customFormat="1" ht="18.75">
      <c r="P313" s="67"/>
      <c r="Q313" s="67"/>
    </row>
    <row r="314" spans="16:17" s="42" customFormat="1" ht="18.75">
      <c r="P314" s="67"/>
      <c r="Q314" s="67"/>
    </row>
    <row r="315" spans="16:17" s="42" customFormat="1" ht="18.75">
      <c r="P315" s="67"/>
      <c r="Q315" s="67"/>
    </row>
    <row r="316" spans="16:17" s="42" customFormat="1" ht="18.75">
      <c r="P316" s="67"/>
      <c r="Q316" s="67"/>
    </row>
    <row r="317" spans="16:17" s="42" customFormat="1" ht="18.75">
      <c r="P317" s="67"/>
      <c r="Q317" s="67"/>
    </row>
    <row r="318" spans="16:17" s="42" customFormat="1" ht="18.75">
      <c r="P318" s="67"/>
      <c r="Q318" s="67"/>
    </row>
    <row r="319" spans="16:17" s="42" customFormat="1" ht="18.75">
      <c r="P319" s="67"/>
      <c r="Q319" s="67"/>
    </row>
    <row r="320" spans="16:17" s="42" customFormat="1" ht="18.75">
      <c r="P320" s="67"/>
      <c r="Q320" s="67"/>
    </row>
    <row r="321" spans="16:17" s="42" customFormat="1" ht="18.75">
      <c r="P321" s="67"/>
      <c r="Q321" s="67"/>
    </row>
    <row r="322" spans="16:17" s="42" customFormat="1" ht="18.75">
      <c r="P322" s="67"/>
      <c r="Q322" s="67"/>
    </row>
    <row r="323" spans="16:17" s="42" customFormat="1" ht="18.75">
      <c r="P323" s="67"/>
      <c r="Q323" s="67"/>
    </row>
    <row r="324" spans="16:17" s="42" customFormat="1" ht="18.75">
      <c r="P324" s="67"/>
      <c r="Q324" s="67"/>
    </row>
    <row r="325" spans="16:17" s="42" customFormat="1" ht="18.75">
      <c r="P325" s="67"/>
      <c r="Q325" s="67"/>
    </row>
    <row r="326" spans="16:17" s="42" customFormat="1" ht="18.75">
      <c r="P326" s="67"/>
      <c r="Q326" s="67"/>
    </row>
    <row r="327" spans="16:17" s="42" customFormat="1" ht="18.75">
      <c r="P327" s="67"/>
      <c r="Q327" s="67"/>
    </row>
    <row r="328" spans="16:17" s="42" customFormat="1" ht="18.75">
      <c r="P328" s="67"/>
      <c r="Q328" s="67"/>
    </row>
    <row r="329" spans="16:17" s="42" customFormat="1" ht="18.75">
      <c r="P329" s="67"/>
      <c r="Q329" s="67"/>
    </row>
    <row r="330" spans="16:17" s="42" customFormat="1" ht="18.75">
      <c r="P330" s="67"/>
      <c r="Q330" s="67"/>
    </row>
    <row r="331" spans="16:17" s="42" customFormat="1" ht="18.75">
      <c r="P331" s="67"/>
      <c r="Q331" s="67"/>
    </row>
    <row r="332" spans="16:17" s="42" customFormat="1" ht="18.75">
      <c r="P332" s="67"/>
      <c r="Q332" s="67"/>
    </row>
    <row r="333" spans="16:17" s="42" customFormat="1" ht="18.75">
      <c r="P333" s="67"/>
      <c r="Q333" s="67"/>
    </row>
    <row r="334" spans="16:17" s="42" customFormat="1" ht="18.75">
      <c r="P334" s="67"/>
      <c r="Q334" s="67"/>
    </row>
    <row r="335" spans="16:17" s="42" customFormat="1" ht="18.75">
      <c r="P335" s="67"/>
      <c r="Q335" s="67"/>
    </row>
    <row r="336" spans="16:17" s="42" customFormat="1" ht="18.75">
      <c r="P336" s="67"/>
      <c r="Q336" s="67"/>
    </row>
    <row r="337" spans="16:17" s="42" customFormat="1" ht="18.75">
      <c r="P337" s="67"/>
      <c r="Q337" s="67"/>
    </row>
    <row r="338" spans="16:17" s="42" customFormat="1" ht="18.75">
      <c r="P338" s="67"/>
      <c r="Q338" s="67"/>
    </row>
    <row r="339" spans="16:17" s="42" customFormat="1" ht="18.75">
      <c r="P339" s="67"/>
      <c r="Q339" s="67"/>
    </row>
    <row r="340" spans="16:17" s="42" customFormat="1" ht="18.75">
      <c r="P340" s="67"/>
      <c r="Q340" s="67"/>
    </row>
    <row r="341" spans="16:17" s="42" customFormat="1" ht="18.75">
      <c r="P341" s="67"/>
      <c r="Q341" s="67"/>
    </row>
    <row r="342" spans="16:17" s="42" customFormat="1" ht="18.75">
      <c r="P342" s="67"/>
      <c r="Q342" s="67"/>
    </row>
    <row r="343" spans="16:17" s="42" customFormat="1" ht="18.75">
      <c r="P343" s="67"/>
      <c r="Q343" s="67"/>
    </row>
    <row r="344" spans="16:17" s="42" customFormat="1" ht="18.75">
      <c r="P344" s="67"/>
      <c r="Q344" s="67"/>
    </row>
    <row r="345" spans="16:17" s="42" customFormat="1" ht="18.75">
      <c r="P345" s="67"/>
      <c r="Q345" s="67"/>
    </row>
    <row r="346" spans="16:17" s="42" customFormat="1" ht="18.75">
      <c r="P346" s="67"/>
      <c r="Q346" s="67"/>
    </row>
    <row r="347" spans="16:17" s="42" customFormat="1" ht="18.75">
      <c r="P347" s="67"/>
      <c r="Q347" s="67"/>
    </row>
    <row r="348" spans="16:17" s="42" customFormat="1" ht="18.75">
      <c r="P348" s="67"/>
      <c r="Q348" s="67"/>
    </row>
    <row r="349" spans="16:17" s="42" customFormat="1" ht="18.75">
      <c r="P349" s="67"/>
      <c r="Q349" s="67"/>
    </row>
    <row r="350" spans="16:17" s="42" customFormat="1" ht="18.75">
      <c r="P350" s="67"/>
      <c r="Q350" s="67"/>
    </row>
    <row r="351" spans="16:17" s="42" customFormat="1" ht="18.75">
      <c r="P351" s="67"/>
      <c r="Q351" s="67"/>
    </row>
    <row r="352" spans="16:17" s="42" customFormat="1" ht="18.75">
      <c r="P352" s="67"/>
      <c r="Q352" s="67"/>
    </row>
    <row r="353" spans="16:17" s="42" customFormat="1" ht="18.75">
      <c r="P353" s="67"/>
      <c r="Q353" s="67"/>
    </row>
    <row r="354" spans="16:17" s="42" customFormat="1" ht="18.75">
      <c r="P354" s="67"/>
      <c r="Q354" s="67"/>
    </row>
    <row r="355" spans="16:17" s="42" customFormat="1" ht="18.75">
      <c r="P355" s="67"/>
      <c r="Q355" s="67"/>
    </row>
    <row r="356" spans="16:17" s="42" customFormat="1" ht="18.75">
      <c r="P356" s="67"/>
      <c r="Q356" s="67"/>
    </row>
    <row r="357" spans="16:17" s="42" customFormat="1" ht="18.75">
      <c r="P357" s="67"/>
      <c r="Q357" s="67"/>
    </row>
    <row r="358" spans="16:17" s="42" customFormat="1" ht="18.75">
      <c r="P358" s="67"/>
      <c r="Q358" s="67"/>
    </row>
    <row r="359" spans="16:17" s="42" customFormat="1" ht="18.75">
      <c r="P359" s="67"/>
      <c r="Q359" s="67"/>
    </row>
    <row r="360" spans="16:17" s="42" customFormat="1" ht="18.75">
      <c r="P360" s="67"/>
      <c r="Q360" s="67"/>
    </row>
    <row r="361" spans="16:17" s="42" customFormat="1" ht="18.75">
      <c r="P361" s="67"/>
      <c r="Q361" s="67"/>
    </row>
    <row r="362" spans="16:17" s="42" customFormat="1" ht="18.75">
      <c r="P362" s="67"/>
      <c r="Q362" s="67"/>
    </row>
    <row r="363" spans="16:17" s="42" customFormat="1" ht="18.75">
      <c r="P363" s="67"/>
      <c r="Q363" s="67"/>
    </row>
    <row r="364" spans="16:17" s="42" customFormat="1" ht="18.75">
      <c r="P364" s="67"/>
      <c r="Q364" s="67"/>
    </row>
    <row r="365" spans="16:17" s="42" customFormat="1" ht="18.75">
      <c r="P365" s="67"/>
      <c r="Q365" s="67"/>
    </row>
    <row r="366" spans="16:17" s="42" customFormat="1" ht="18.75">
      <c r="P366" s="67"/>
      <c r="Q366" s="67"/>
    </row>
    <row r="367" spans="16:17" s="42" customFormat="1" ht="18.75">
      <c r="P367" s="67"/>
      <c r="Q367" s="67"/>
    </row>
    <row r="368" spans="16:17" s="42" customFormat="1" ht="18.75">
      <c r="P368" s="67"/>
      <c r="Q368" s="67"/>
    </row>
    <row r="369" spans="16:17" s="42" customFormat="1" ht="18.75">
      <c r="P369" s="67"/>
      <c r="Q369" s="67"/>
    </row>
    <row r="370" spans="16:17" s="42" customFormat="1" ht="18.75">
      <c r="P370" s="67"/>
      <c r="Q370" s="67"/>
    </row>
    <row r="371" spans="16:17" s="42" customFormat="1" ht="18.75">
      <c r="P371" s="67"/>
      <c r="Q371" s="67"/>
    </row>
    <row r="372" spans="16:17" s="42" customFormat="1" ht="18.75">
      <c r="P372" s="67"/>
      <c r="Q372" s="67"/>
    </row>
    <row r="373" spans="16:17" s="42" customFormat="1" ht="18.75">
      <c r="P373" s="67"/>
      <c r="Q373" s="67"/>
    </row>
    <row r="374" spans="16:17" s="42" customFormat="1" ht="18.75">
      <c r="P374" s="67"/>
      <c r="Q374" s="67"/>
    </row>
    <row r="375" spans="16:17" s="42" customFormat="1" ht="18.75">
      <c r="P375" s="67"/>
      <c r="Q375" s="67"/>
    </row>
    <row r="376" spans="16:17" s="42" customFormat="1" ht="18.75">
      <c r="P376" s="67"/>
      <c r="Q376" s="67"/>
    </row>
    <row r="377" spans="16:17" s="42" customFormat="1" ht="18.75">
      <c r="P377" s="67"/>
      <c r="Q377" s="67"/>
    </row>
    <row r="378" spans="16:17" s="42" customFormat="1" ht="18.75">
      <c r="P378" s="67"/>
      <c r="Q378" s="67"/>
    </row>
    <row r="379" spans="16:17" s="42" customFormat="1" ht="18.75">
      <c r="P379" s="67"/>
      <c r="Q379" s="67"/>
    </row>
    <row r="380" spans="16:17" s="42" customFormat="1" ht="18.75">
      <c r="P380" s="67"/>
      <c r="Q380" s="67"/>
    </row>
    <row r="381" spans="16:17" s="42" customFormat="1" ht="18.75">
      <c r="P381" s="67"/>
      <c r="Q381" s="67"/>
    </row>
    <row r="382" spans="16:17" s="42" customFormat="1" ht="18.75">
      <c r="P382" s="67"/>
      <c r="Q382" s="67"/>
    </row>
    <row r="383" spans="16:17" s="42" customFormat="1" ht="18.75">
      <c r="P383" s="67"/>
      <c r="Q383" s="67"/>
    </row>
    <row r="384" spans="16:17" s="42" customFormat="1" ht="18.75">
      <c r="P384" s="67"/>
      <c r="Q384" s="67"/>
    </row>
    <row r="385" spans="16:17" s="42" customFormat="1" ht="18.75">
      <c r="P385" s="67"/>
      <c r="Q385" s="67"/>
    </row>
    <row r="386" spans="16:17" s="42" customFormat="1" ht="18.75">
      <c r="P386" s="67"/>
      <c r="Q386" s="67"/>
    </row>
    <row r="387" spans="16:17" s="42" customFormat="1" ht="18.75">
      <c r="P387" s="67"/>
      <c r="Q387" s="67"/>
    </row>
    <row r="388" spans="16:17" s="42" customFormat="1" ht="18.75">
      <c r="P388" s="67"/>
      <c r="Q388" s="67"/>
    </row>
    <row r="389" spans="16:17" s="42" customFormat="1" ht="18.75">
      <c r="P389" s="67"/>
      <c r="Q389" s="67"/>
    </row>
    <row r="390" spans="16:17" s="42" customFormat="1" ht="18.75">
      <c r="P390" s="67"/>
      <c r="Q390" s="67"/>
    </row>
    <row r="391" spans="16:17" s="42" customFormat="1" ht="18.75">
      <c r="P391" s="67"/>
      <c r="Q391" s="67"/>
    </row>
    <row r="392" spans="16:17" s="42" customFormat="1" ht="18.75">
      <c r="P392" s="67"/>
      <c r="Q392" s="67"/>
    </row>
    <row r="393" spans="16:17" s="42" customFormat="1" ht="18.75">
      <c r="P393" s="67"/>
      <c r="Q393" s="67"/>
    </row>
    <row r="394" spans="16:17" s="42" customFormat="1" ht="18.75">
      <c r="P394" s="67"/>
      <c r="Q394" s="67"/>
    </row>
    <row r="395" spans="16:17" s="42" customFormat="1" ht="18.75">
      <c r="P395" s="67"/>
      <c r="Q395" s="67"/>
    </row>
    <row r="396" spans="16:17" s="42" customFormat="1" ht="18.75">
      <c r="P396" s="67"/>
      <c r="Q396" s="67"/>
    </row>
    <row r="397" spans="16:17" s="42" customFormat="1" ht="18.75">
      <c r="P397" s="67"/>
      <c r="Q397" s="67"/>
    </row>
    <row r="398" spans="16:17" s="42" customFormat="1" ht="18.75">
      <c r="P398" s="67"/>
      <c r="Q398" s="67"/>
    </row>
    <row r="399" spans="16:17" s="42" customFormat="1" ht="18.75">
      <c r="P399" s="67"/>
      <c r="Q399" s="67"/>
    </row>
    <row r="400" spans="16:17" s="42" customFormat="1" ht="18.75">
      <c r="P400" s="67"/>
      <c r="Q400" s="67"/>
    </row>
    <row r="401" spans="16:17" s="42" customFormat="1" ht="18.75">
      <c r="P401" s="67"/>
      <c r="Q401" s="67"/>
    </row>
    <row r="402" spans="16:17" s="42" customFormat="1" ht="18.75">
      <c r="P402" s="67"/>
      <c r="Q402" s="67"/>
    </row>
    <row r="403" spans="16:17" s="42" customFormat="1" ht="18.75">
      <c r="P403" s="67"/>
      <c r="Q403" s="67"/>
    </row>
    <row r="404" spans="16:17" s="42" customFormat="1" ht="18.75">
      <c r="P404" s="67"/>
      <c r="Q404" s="67"/>
    </row>
    <row r="405" spans="16:17" s="42" customFormat="1" ht="18.75">
      <c r="P405" s="67"/>
      <c r="Q405" s="67"/>
    </row>
    <row r="406" spans="16:17" s="42" customFormat="1" ht="18.75">
      <c r="P406" s="67"/>
      <c r="Q406" s="67"/>
    </row>
    <row r="407" spans="16:17" s="42" customFormat="1" ht="18.75">
      <c r="P407" s="67"/>
      <c r="Q407" s="67"/>
    </row>
    <row r="408" spans="16:17" s="42" customFormat="1" ht="18.75">
      <c r="P408" s="67"/>
      <c r="Q408" s="67"/>
    </row>
    <row r="409" spans="16:17" s="42" customFormat="1" ht="18.75">
      <c r="P409" s="67"/>
      <c r="Q409" s="67"/>
    </row>
    <row r="410" spans="16:17" s="42" customFormat="1" ht="18.75">
      <c r="P410" s="67"/>
      <c r="Q410" s="67"/>
    </row>
    <row r="411" spans="16:17" s="42" customFormat="1" ht="18.75">
      <c r="P411" s="67"/>
      <c r="Q411" s="67"/>
    </row>
    <row r="412" spans="16:17" s="42" customFormat="1" ht="18.75">
      <c r="P412" s="67"/>
      <c r="Q412" s="67"/>
    </row>
    <row r="413" spans="16:17" s="42" customFormat="1" ht="18.75">
      <c r="P413" s="67"/>
      <c r="Q413" s="67"/>
    </row>
    <row r="414" spans="16:17" s="42" customFormat="1" ht="18.75">
      <c r="P414" s="67"/>
      <c r="Q414" s="67"/>
    </row>
    <row r="415" spans="16:17" s="42" customFormat="1" ht="18.75">
      <c r="P415" s="67"/>
      <c r="Q415" s="67"/>
    </row>
    <row r="416" spans="16:17" s="42" customFormat="1" ht="18.75">
      <c r="P416" s="67"/>
      <c r="Q416" s="67"/>
    </row>
    <row r="417" spans="16:17" s="42" customFormat="1" ht="18.75">
      <c r="P417" s="67"/>
      <c r="Q417" s="67"/>
    </row>
    <row r="418" spans="16:17" s="42" customFormat="1" ht="18.75">
      <c r="P418" s="67"/>
      <c r="Q418" s="67"/>
    </row>
    <row r="419" spans="16:17" s="42" customFormat="1" ht="18.75">
      <c r="P419" s="67"/>
      <c r="Q419" s="67"/>
    </row>
    <row r="420" spans="16:17" s="42" customFormat="1" ht="18.75">
      <c r="P420" s="67"/>
      <c r="Q420" s="67"/>
    </row>
    <row r="421" spans="16:17" s="42" customFormat="1" ht="18.75">
      <c r="P421" s="67"/>
      <c r="Q421" s="67"/>
    </row>
    <row r="422" spans="16:17" s="42" customFormat="1" ht="18.75">
      <c r="P422" s="67"/>
      <c r="Q422" s="67"/>
    </row>
    <row r="423" spans="16:17" s="42" customFormat="1" ht="18.75">
      <c r="P423" s="67"/>
      <c r="Q423" s="67"/>
    </row>
    <row r="424" spans="16:17" s="42" customFormat="1" ht="18.75">
      <c r="P424" s="67"/>
      <c r="Q424" s="67"/>
    </row>
    <row r="425" spans="16:17" s="42" customFormat="1" ht="18.75">
      <c r="P425" s="67"/>
      <c r="Q425" s="67"/>
    </row>
    <row r="426" spans="16:17" s="42" customFormat="1" ht="18.75">
      <c r="P426" s="67"/>
      <c r="Q426" s="67"/>
    </row>
    <row r="427" spans="16:17" s="42" customFormat="1" ht="18.75">
      <c r="P427" s="67"/>
      <c r="Q427" s="67"/>
    </row>
    <row r="428" spans="16:17" s="42" customFormat="1" ht="18.75">
      <c r="P428" s="67"/>
      <c r="Q428" s="67"/>
    </row>
    <row r="429" spans="16:17" s="42" customFormat="1" ht="18.75">
      <c r="P429" s="67"/>
      <c r="Q429" s="67"/>
    </row>
    <row r="430" spans="16:17" s="42" customFormat="1" ht="18.75">
      <c r="P430" s="67"/>
      <c r="Q430" s="67"/>
    </row>
    <row r="431" spans="16:17" s="42" customFormat="1" ht="18.75">
      <c r="P431" s="67"/>
      <c r="Q431" s="67"/>
    </row>
    <row r="432" spans="16:17" s="42" customFormat="1" ht="18.75">
      <c r="P432" s="67"/>
      <c r="Q432" s="67"/>
    </row>
    <row r="433" spans="16:17" s="42" customFormat="1" ht="18.75">
      <c r="P433" s="67"/>
      <c r="Q433" s="67"/>
    </row>
    <row r="434" spans="16:17" s="42" customFormat="1" ht="18.75">
      <c r="P434" s="67"/>
      <c r="Q434" s="67"/>
    </row>
    <row r="435" spans="16:17" s="42" customFormat="1" ht="18.75">
      <c r="P435" s="67"/>
      <c r="Q435" s="67"/>
    </row>
    <row r="436" spans="16:17" s="42" customFormat="1" ht="18.75">
      <c r="P436" s="67"/>
      <c r="Q436" s="67"/>
    </row>
    <row r="437" spans="16:17" s="42" customFormat="1" ht="18.75">
      <c r="P437" s="67"/>
      <c r="Q437" s="67"/>
    </row>
    <row r="438" spans="16:17" s="42" customFormat="1" ht="18.75">
      <c r="P438" s="67"/>
      <c r="Q438" s="67"/>
    </row>
    <row r="439" spans="16:17" s="42" customFormat="1" ht="18.75">
      <c r="P439" s="67"/>
      <c r="Q439" s="67"/>
    </row>
    <row r="440" spans="16:17" s="42" customFormat="1" ht="18.75">
      <c r="P440" s="67"/>
      <c r="Q440" s="67"/>
    </row>
    <row r="441" spans="16:17" s="42" customFormat="1" ht="18.75">
      <c r="P441" s="67"/>
      <c r="Q441" s="67"/>
    </row>
    <row r="442" spans="16:17" s="42" customFormat="1" ht="18.75">
      <c r="P442" s="67"/>
      <c r="Q442" s="67"/>
    </row>
    <row r="443" spans="16:17" s="42" customFormat="1" ht="18.75">
      <c r="P443" s="67"/>
      <c r="Q443" s="67"/>
    </row>
    <row r="444" spans="16:17" s="42" customFormat="1" ht="18.75">
      <c r="P444" s="67"/>
      <c r="Q444" s="67"/>
    </row>
    <row r="445" spans="16:17" s="42" customFormat="1" ht="18.75">
      <c r="P445" s="67"/>
      <c r="Q445" s="67"/>
    </row>
    <row r="446" spans="16:17" s="42" customFormat="1" ht="18.75">
      <c r="P446" s="67"/>
      <c r="Q446" s="67"/>
    </row>
    <row r="447" spans="16:17" s="42" customFormat="1" ht="18.75">
      <c r="P447" s="67"/>
      <c r="Q447" s="67"/>
    </row>
    <row r="448" spans="16:17" s="42" customFormat="1" ht="18.75">
      <c r="P448" s="67"/>
      <c r="Q448" s="67"/>
    </row>
    <row r="449" spans="16:17" s="42" customFormat="1" ht="18.75">
      <c r="P449" s="67"/>
      <c r="Q449" s="67"/>
    </row>
    <row r="450" spans="16:17" s="42" customFormat="1" ht="18.75">
      <c r="P450" s="67"/>
      <c r="Q450" s="67"/>
    </row>
    <row r="451" spans="16:17" s="42" customFormat="1" ht="18.75">
      <c r="P451" s="67"/>
      <c r="Q451" s="67"/>
    </row>
    <row r="452" spans="16:17" s="42" customFormat="1" ht="18.75">
      <c r="P452" s="67"/>
      <c r="Q452" s="67"/>
    </row>
    <row r="453" spans="16:17" s="42" customFormat="1" ht="18.75">
      <c r="P453" s="67"/>
      <c r="Q453" s="67"/>
    </row>
    <row r="454" spans="16:17" s="42" customFormat="1" ht="18.75">
      <c r="P454" s="67"/>
      <c r="Q454" s="67"/>
    </row>
    <row r="455" spans="16:17" s="42" customFormat="1" ht="18.75">
      <c r="P455" s="67"/>
      <c r="Q455" s="67"/>
    </row>
    <row r="456" spans="16:17" s="42" customFormat="1" ht="18.75">
      <c r="P456" s="67"/>
      <c r="Q456" s="67"/>
    </row>
    <row r="457" spans="16:17" s="42" customFormat="1" ht="18.75">
      <c r="P457" s="67"/>
      <c r="Q457" s="67"/>
    </row>
    <row r="458" spans="16:17" s="42" customFormat="1" ht="18.75">
      <c r="P458" s="67"/>
      <c r="Q458" s="67"/>
    </row>
    <row r="459" spans="16:17" s="42" customFormat="1" ht="18.75">
      <c r="P459" s="67"/>
      <c r="Q459" s="67"/>
    </row>
    <row r="460" spans="16:17" s="42" customFormat="1" ht="18.75">
      <c r="P460" s="67"/>
      <c r="Q460" s="67"/>
    </row>
    <row r="461" spans="16:17" s="42" customFormat="1" ht="18.75">
      <c r="P461" s="67"/>
      <c r="Q461" s="67"/>
    </row>
    <row r="462" spans="16:17" s="42" customFormat="1" ht="18.75">
      <c r="P462" s="67"/>
      <c r="Q462" s="67"/>
    </row>
    <row r="463" spans="16:17" s="42" customFormat="1" ht="18.75">
      <c r="P463" s="67"/>
      <c r="Q463" s="67"/>
    </row>
    <row r="464" spans="16:17" s="42" customFormat="1" ht="18.75">
      <c r="P464" s="67"/>
      <c r="Q464" s="67"/>
    </row>
    <row r="465" spans="16:17" s="42" customFormat="1" ht="18.75">
      <c r="P465" s="67"/>
      <c r="Q465" s="67"/>
    </row>
    <row r="466" spans="16:17" s="42" customFormat="1" ht="18.75">
      <c r="P466" s="67"/>
      <c r="Q466" s="67"/>
    </row>
    <row r="467" spans="16:17" s="42" customFormat="1" ht="18.75">
      <c r="P467" s="67"/>
      <c r="Q467" s="67"/>
    </row>
    <row r="468" spans="16:17" s="42" customFormat="1" ht="18.75">
      <c r="P468" s="67"/>
      <c r="Q468" s="67"/>
    </row>
    <row r="469" spans="16:17" s="42" customFormat="1" ht="18.75">
      <c r="P469" s="67"/>
      <c r="Q469" s="67"/>
    </row>
    <row r="470" spans="16:17" s="42" customFormat="1" ht="18.75">
      <c r="P470" s="67"/>
      <c r="Q470" s="67"/>
    </row>
    <row r="471" spans="16:17" s="42" customFormat="1" ht="18.75">
      <c r="P471" s="67"/>
      <c r="Q471" s="67"/>
    </row>
    <row r="472" spans="16:17" s="42" customFormat="1" ht="18.75">
      <c r="P472" s="67"/>
      <c r="Q472" s="67"/>
    </row>
    <row r="473" spans="16:17" s="42" customFormat="1" ht="18.75">
      <c r="P473" s="67"/>
      <c r="Q473" s="67"/>
    </row>
    <row r="474" spans="16:17" s="42" customFormat="1" ht="18.75">
      <c r="P474" s="67"/>
      <c r="Q474" s="67"/>
    </row>
    <row r="475" spans="16:17" s="42" customFormat="1" ht="18.75">
      <c r="P475" s="67"/>
      <c r="Q475" s="67"/>
    </row>
    <row r="476" spans="16:17" s="42" customFormat="1" ht="18.75">
      <c r="P476" s="67"/>
      <c r="Q476" s="67"/>
    </row>
    <row r="477" spans="16:17" s="42" customFormat="1" ht="18.75">
      <c r="P477" s="67"/>
      <c r="Q477" s="67"/>
    </row>
    <row r="478" spans="16:17" s="42" customFormat="1" ht="18.75">
      <c r="P478" s="67"/>
      <c r="Q478" s="67"/>
    </row>
    <row r="479" spans="16:17" s="42" customFormat="1" ht="18.75">
      <c r="P479" s="67"/>
      <c r="Q479" s="67"/>
    </row>
    <row r="480" spans="16:17" s="42" customFormat="1" ht="18.75">
      <c r="P480" s="67"/>
      <c r="Q480" s="67"/>
    </row>
    <row r="481" spans="16:17" s="42" customFormat="1" ht="18.75">
      <c r="P481" s="67"/>
      <c r="Q481" s="67"/>
    </row>
    <row r="482" spans="16:17" s="42" customFormat="1" ht="18.75">
      <c r="P482" s="67"/>
      <c r="Q482" s="67"/>
    </row>
    <row r="483" spans="16:17" s="42" customFormat="1" ht="18.75">
      <c r="P483" s="67"/>
      <c r="Q483" s="67"/>
    </row>
    <row r="484" spans="16:17" s="42" customFormat="1" ht="18.75">
      <c r="P484" s="67"/>
      <c r="Q484" s="67"/>
    </row>
    <row r="485" spans="16:17" s="42" customFormat="1" ht="18.75">
      <c r="P485" s="67"/>
      <c r="Q485" s="67"/>
    </row>
    <row r="486" spans="16:17" s="42" customFormat="1" ht="18.75">
      <c r="P486" s="67"/>
      <c r="Q486" s="67"/>
    </row>
    <row r="487" spans="16:17" s="42" customFormat="1" ht="18.75">
      <c r="P487" s="67"/>
      <c r="Q487" s="67"/>
    </row>
    <row r="488" spans="16:17" s="42" customFormat="1" ht="18.75">
      <c r="P488" s="67"/>
      <c r="Q488" s="67"/>
    </row>
    <row r="489" spans="16:17" s="42" customFormat="1" ht="18.75">
      <c r="P489" s="67"/>
      <c r="Q489" s="67"/>
    </row>
    <row r="490" spans="16:17" s="42" customFormat="1" ht="18.75">
      <c r="P490" s="67"/>
      <c r="Q490" s="67"/>
    </row>
    <row r="491" spans="16:17" s="42" customFormat="1" ht="18.75">
      <c r="P491" s="67"/>
      <c r="Q491" s="67"/>
    </row>
    <row r="492" spans="1:17" s="42" customFormat="1" ht="18.75">
      <c r="A492" s="47"/>
      <c r="B492" s="47"/>
      <c r="C492" s="47"/>
      <c r="D492" s="48"/>
      <c r="E492" s="47"/>
      <c r="F492" s="47"/>
      <c r="G492" s="49"/>
      <c r="H492" s="49"/>
      <c r="I492" s="49"/>
      <c r="J492" s="49"/>
      <c r="K492" s="49"/>
      <c r="L492" s="49"/>
      <c r="M492" s="49"/>
      <c r="N492" s="49"/>
      <c r="O492" s="49"/>
      <c r="P492" s="50"/>
      <c r="Q492" s="50"/>
    </row>
    <row r="493" spans="1:17" s="42" customFormat="1" ht="18.75">
      <c r="A493" s="47"/>
      <c r="B493" s="47"/>
      <c r="C493" s="47"/>
      <c r="D493" s="48"/>
      <c r="E493" s="47"/>
      <c r="F493" s="47"/>
      <c r="G493" s="49"/>
      <c r="H493" s="49"/>
      <c r="I493" s="49"/>
      <c r="J493" s="49"/>
      <c r="K493" s="49"/>
      <c r="L493" s="49"/>
      <c r="M493" s="49"/>
      <c r="N493" s="49"/>
      <c r="O493" s="49"/>
      <c r="P493" s="50"/>
      <c r="Q493" s="50"/>
    </row>
    <row r="494" spans="1:17" s="42" customFormat="1" ht="18.75">
      <c r="A494" s="47"/>
      <c r="B494" s="47"/>
      <c r="C494" s="47"/>
      <c r="D494" s="48"/>
      <c r="E494" s="47"/>
      <c r="F494" s="47"/>
      <c r="G494" s="49"/>
      <c r="H494" s="49"/>
      <c r="I494" s="49"/>
      <c r="J494" s="49"/>
      <c r="K494" s="49"/>
      <c r="L494" s="49"/>
      <c r="M494" s="49"/>
      <c r="N494" s="49"/>
      <c r="O494" s="49"/>
      <c r="P494" s="50"/>
      <c r="Q494" s="50"/>
    </row>
    <row r="495" spans="1:17" s="42" customFormat="1" ht="18.75">
      <c r="A495" s="47"/>
      <c r="B495" s="47"/>
      <c r="C495" s="47"/>
      <c r="D495" s="48"/>
      <c r="E495" s="47"/>
      <c r="F495" s="47"/>
      <c r="G495" s="49"/>
      <c r="H495" s="49"/>
      <c r="I495" s="49"/>
      <c r="J495" s="49"/>
      <c r="K495" s="49"/>
      <c r="L495" s="49"/>
      <c r="M495" s="49"/>
      <c r="N495" s="49"/>
      <c r="O495" s="49"/>
      <c r="P495" s="50"/>
      <c r="Q495" s="50"/>
    </row>
  </sheetData>
  <sheetProtection/>
  <mergeCells count="5">
    <mergeCell ref="A1:O1"/>
    <mergeCell ref="A2:Q2"/>
    <mergeCell ref="G3:O3"/>
    <mergeCell ref="A4:F4"/>
    <mergeCell ref="G4:Q4"/>
  </mergeCells>
  <printOptions horizontalCentered="1"/>
  <pageMargins left="0.59" right="0.39" top="0.87" bottom="0.79" header="0.39" footer="0.51"/>
  <pageSetup firstPageNumber="12" useFirstPageNumber="1" horizontalDpi="600" verticalDpi="600" orientation="portrait" paperSize="8" scale="75"/>
  <headerFooter scaleWithDoc="0" alignWithMargins="0">
    <oddFooter>&amp;C  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pane xSplit="7" ySplit="5" topLeftCell="H6" activePane="bottomRight" state="frozen"/>
      <selection pane="bottomRight" activeCell="E13" sqref="E13"/>
    </sheetView>
  </sheetViews>
  <sheetFormatPr defaultColWidth="9.00390625" defaultRowHeight="14.25"/>
  <cols>
    <col min="1" max="1" width="35.50390625" style="0" customWidth="1"/>
    <col min="2" max="6" width="10.25390625" style="0" customWidth="1"/>
    <col min="7" max="7" width="35.50390625" style="6" customWidth="1"/>
    <col min="8" max="12" width="14.25390625" style="6" hidden="1" customWidth="1"/>
    <col min="13" max="15" width="10.25390625" style="6" customWidth="1"/>
    <col min="16" max="17" width="10.25390625" style="7" customWidth="1"/>
    <col min="18" max="19" width="9.00390625" style="6" customWidth="1"/>
    <col min="20" max="20" width="9.00390625" style="6" hidden="1" customWidth="1"/>
    <col min="21" max="255" width="9.00390625" style="6" customWidth="1"/>
  </cols>
  <sheetData>
    <row r="1" spans="1:7" ht="17.25" customHeight="1">
      <c r="A1" s="8" t="s">
        <v>258</v>
      </c>
      <c r="G1" s="8"/>
    </row>
    <row r="2" spans="1:17" ht="23.25" customHeight="1">
      <c r="A2" s="9" t="s">
        <v>259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19.5" customHeight="1">
      <c r="A3" s="10" t="s">
        <v>260</v>
      </c>
      <c r="G3" s="10"/>
      <c r="H3" s="11"/>
      <c r="I3" s="11"/>
      <c r="J3" s="11"/>
      <c r="K3" s="11"/>
      <c r="L3" s="11"/>
      <c r="M3" s="33"/>
      <c r="N3" s="33"/>
      <c r="O3" s="33"/>
      <c r="P3" s="34"/>
      <c r="Q3" s="37" t="s">
        <v>4</v>
      </c>
    </row>
    <row r="4" spans="1:17" s="1" customFormat="1" ht="19.5" customHeight="1">
      <c r="A4" s="12" t="s">
        <v>5</v>
      </c>
      <c r="B4" s="12"/>
      <c r="C4" s="12"/>
      <c r="D4" s="12"/>
      <c r="E4" s="12"/>
      <c r="F4" s="12"/>
      <c r="G4" s="12" t="s">
        <v>36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2" customFormat="1" ht="42" customHeight="1">
      <c r="A5" s="13" t="s">
        <v>99</v>
      </c>
      <c r="B5" s="13" t="s">
        <v>100</v>
      </c>
      <c r="C5" s="13" t="s">
        <v>101</v>
      </c>
      <c r="D5" s="13" t="s">
        <v>102</v>
      </c>
      <c r="E5" s="13" t="s">
        <v>103</v>
      </c>
      <c r="F5" s="13" t="s">
        <v>104</v>
      </c>
      <c r="G5" s="13" t="s">
        <v>99</v>
      </c>
      <c r="H5" s="14" t="s">
        <v>105</v>
      </c>
      <c r="I5" s="14" t="s">
        <v>106</v>
      </c>
      <c r="J5" s="14" t="s">
        <v>107</v>
      </c>
      <c r="K5" s="14" t="s">
        <v>108</v>
      </c>
      <c r="L5" s="14" t="s">
        <v>29</v>
      </c>
      <c r="M5" s="13" t="s">
        <v>100</v>
      </c>
      <c r="N5" s="13" t="s">
        <v>101</v>
      </c>
      <c r="O5" s="13" t="s">
        <v>102</v>
      </c>
      <c r="P5" s="13" t="s">
        <v>103</v>
      </c>
      <c r="Q5" s="13" t="s">
        <v>104</v>
      </c>
    </row>
    <row r="6" spans="1:17" s="2" customFormat="1" ht="16.5" customHeight="1">
      <c r="A6" s="15" t="s">
        <v>261</v>
      </c>
      <c r="B6" s="16">
        <v>8012.21</v>
      </c>
      <c r="C6" s="16">
        <f>C7+C10</f>
        <v>8227.88</v>
      </c>
      <c r="D6" s="16">
        <f>D7+D10</f>
        <v>4589.71</v>
      </c>
      <c r="E6" s="17">
        <f aca="true" t="shared" si="0" ref="E6:E10">C6/B6</f>
        <v>1.0269176669108773</v>
      </c>
      <c r="F6" s="17">
        <f aca="true" t="shared" si="1" ref="F6:F10">D6/C6-1</f>
        <v>-0.44217587033354877</v>
      </c>
      <c r="G6" s="15" t="s">
        <v>262</v>
      </c>
      <c r="H6" s="14"/>
      <c r="I6" s="14"/>
      <c r="J6" s="14"/>
      <c r="K6" s="14"/>
      <c r="L6" s="14"/>
      <c r="M6" s="16">
        <f>M7+M9+M15+M17+M19+0.01</f>
        <v>7545.27</v>
      </c>
      <c r="N6" s="16">
        <f>N7+N9+N15+N17+N19</f>
        <v>6065.74</v>
      </c>
      <c r="O6" s="16">
        <f>O7+O9+O15+O17+O19+0.01</f>
        <v>7007.7302</v>
      </c>
      <c r="P6" s="35">
        <f>N6/M6</f>
        <v>0.8039129149785229</v>
      </c>
      <c r="Q6" s="35">
        <f>O6/N6-1</f>
        <v>0.15529683105441383</v>
      </c>
    </row>
    <row r="7" spans="1:17" s="3" customFormat="1" ht="16.5" customHeight="1">
      <c r="A7" s="18" t="s">
        <v>69</v>
      </c>
      <c r="B7" s="19">
        <v>7746.49</v>
      </c>
      <c r="C7" s="19">
        <v>7962.16</v>
      </c>
      <c r="D7" s="19">
        <f>D8+D9</f>
        <v>4500</v>
      </c>
      <c r="E7" s="17">
        <f t="shared" si="0"/>
        <v>1.0278409963738415</v>
      </c>
      <c r="F7" s="17">
        <f t="shared" si="1"/>
        <v>-0.43482673043495734</v>
      </c>
      <c r="G7" s="20" t="s">
        <v>263</v>
      </c>
      <c r="H7" s="21">
        <v>19.86</v>
      </c>
      <c r="I7" s="21">
        <v>19.86</v>
      </c>
      <c r="J7" s="21">
        <v>14.9</v>
      </c>
      <c r="K7" s="21">
        <v>24.83</v>
      </c>
      <c r="L7" s="21">
        <v>19.86</v>
      </c>
      <c r="M7" s="21">
        <v>19.86</v>
      </c>
      <c r="N7" s="21">
        <v>19.86</v>
      </c>
      <c r="O7" s="21">
        <v>19.86</v>
      </c>
      <c r="P7" s="35">
        <f aca="true" t="shared" si="2" ref="P7:P20">N7/M7</f>
        <v>1</v>
      </c>
      <c r="Q7" s="19">
        <v>0</v>
      </c>
    </row>
    <row r="8" spans="1:20" s="4" customFormat="1" ht="16.5" customHeight="1">
      <c r="A8" s="22" t="s">
        <v>264</v>
      </c>
      <c r="B8" s="23">
        <v>7200</v>
      </c>
      <c r="C8" s="23">
        <v>7367.28</v>
      </c>
      <c r="D8" s="23">
        <v>4000</v>
      </c>
      <c r="E8" s="24">
        <f t="shared" si="0"/>
        <v>1.0232333333333332</v>
      </c>
      <c r="F8" s="24">
        <f t="shared" si="1"/>
        <v>-0.4570587788166053</v>
      </c>
      <c r="G8" s="25" t="s">
        <v>265</v>
      </c>
      <c r="H8" s="26">
        <v>19.86</v>
      </c>
      <c r="I8" s="26">
        <v>19.86</v>
      </c>
      <c r="J8" s="26">
        <v>14.9</v>
      </c>
      <c r="K8" s="26">
        <v>24.83</v>
      </c>
      <c r="L8" s="26">
        <v>19.86</v>
      </c>
      <c r="M8" s="26">
        <v>19.86</v>
      </c>
      <c r="N8" s="26">
        <v>19.86</v>
      </c>
      <c r="O8" s="27">
        <v>19.86</v>
      </c>
      <c r="P8" s="36">
        <f t="shared" si="2"/>
        <v>1</v>
      </c>
      <c r="Q8" s="19">
        <v>0</v>
      </c>
      <c r="T8" s="38">
        <v>172000</v>
      </c>
    </row>
    <row r="9" spans="1:17" s="3" customFormat="1" ht="16.5" customHeight="1">
      <c r="A9" s="22" t="s">
        <v>266</v>
      </c>
      <c r="B9" s="23">
        <v>400</v>
      </c>
      <c r="C9" s="23">
        <v>476.38</v>
      </c>
      <c r="D9" s="23">
        <v>500</v>
      </c>
      <c r="E9" s="24">
        <f t="shared" si="0"/>
        <v>1.19095</v>
      </c>
      <c r="F9" s="24">
        <f t="shared" si="1"/>
        <v>0.04958226625802942</v>
      </c>
      <c r="G9" s="20" t="s">
        <v>267</v>
      </c>
      <c r="H9" s="21">
        <v>9956.48</v>
      </c>
      <c r="I9" s="21">
        <v>2944.65</v>
      </c>
      <c r="J9" s="21">
        <v>5859.54</v>
      </c>
      <c r="K9" s="21">
        <v>4170.06</v>
      </c>
      <c r="L9" s="21">
        <f>SUM(L10:L14)</f>
        <v>11635.57</v>
      </c>
      <c r="M9" s="21">
        <v>6694.59</v>
      </c>
      <c r="N9" s="21">
        <v>5325.83</v>
      </c>
      <c r="O9" s="21">
        <f>SUM(O10:O14)</f>
        <v>6357.8002</v>
      </c>
      <c r="P9" s="35">
        <f t="shared" si="2"/>
        <v>0.795542370779988</v>
      </c>
      <c r="Q9" s="35">
        <f aca="true" t="shared" si="3" ref="Q9:Q18">O9/N9-1</f>
        <v>0.19376701847411582</v>
      </c>
    </row>
    <row r="10" spans="1:20" s="4" customFormat="1" ht="16.5" customHeight="1">
      <c r="A10" s="18" t="s">
        <v>71</v>
      </c>
      <c r="B10" s="19">
        <v>265.72</v>
      </c>
      <c r="C10" s="19">
        <v>265.72</v>
      </c>
      <c r="D10" s="19">
        <v>89.71</v>
      </c>
      <c r="E10" s="17">
        <f t="shared" si="0"/>
        <v>1</v>
      </c>
      <c r="F10" s="17">
        <f t="shared" si="1"/>
        <v>-0.6623889808821316</v>
      </c>
      <c r="G10" s="25" t="s">
        <v>268</v>
      </c>
      <c r="H10" s="27">
        <v>8467.07</v>
      </c>
      <c r="I10" s="27">
        <v>2016.42</v>
      </c>
      <c r="J10" s="27">
        <v>4668.82</v>
      </c>
      <c r="K10" s="27">
        <v>3341.57</v>
      </c>
      <c r="L10" s="27">
        <v>10632.83</v>
      </c>
      <c r="M10" s="27">
        <v>5888.96</v>
      </c>
      <c r="N10" s="27">
        <v>4671.08</v>
      </c>
      <c r="O10" s="27">
        <v>5837.55</v>
      </c>
      <c r="P10" s="36">
        <f t="shared" si="2"/>
        <v>0.7931926859751127</v>
      </c>
      <c r="Q10" s="36">
        <f t="shared" si="3"/>
        <v>0.24972169177149617</v>
      </c>
      <c r="T10" s="38">
        <v>30800</v>
      </c>
    </row>
    <row r="11" spans="1:17" s="3" customFormat="1" ht="16.5" customHeight="1">
      <c r="A11" s="28" t="s">
        <v>269</v>
      </c>
      <c r="B11" s="23">
        <v>70</v>
      </c>
      <c r="C11" s="23">
        <v>70</v>
      </c>
      <c r="D11" s="19">
        <v>0</v>
      </c>
      <c r="E11" s="24">
        <f aca="true" t="shared" si="4" ref="E11:E16">C11/B11</f>
        <v>1</v>
      </c>
      <c r="F11" s="19">
        <v>0</v>
      </c>
      <c r="G11" s="25" t="s">
        <v>270</v>
      </c>
      <c r="H11" s="27">
        <v>210.93</v>
      </c>
      <c r="I11" s="27">
        <v>183.25</v>
      </c>
      <c r="J11" s="27">
        <v>247.17</v>
      </c>
      <c r="K11" s="27">
        <v>220.55</v>
      </c>
      <c r="L11" s="27">
        <v>161.61</v>
      </c>
      <c r="M11" s="27">
        <v>144.14</v>
      </c>
      <c r="N11" s="27">
        <v>104.14</v>
      </c>
      <c r="O11" s="16">
        <v>0</v>
      </c>
      <c r="P11" s="36">
        <f t="shared" si="2"/>
        <v>0.7224920216456224</v>
      </c>
      <c r="Q11" s="26">
        <v>0</v>
      </c>
    </row>
    <row r="12" spans="1:20" s="4" customFormat="1" ht="16.5" customHeight="1">
      <c r="A12" s="28" t="s">
        <v>271</v>
      </c>
      <c r="B12" s="23">
        <v>14.9</v>
      </c>
      <c r="C12" s="23">
        <v>14.9</v>
      </c>
      <c r="D12" s="23">
        <v>0</v>
      </c>
      <c r="E12" s="24">
        <f t="shared" si="4"/>
        <v>1</v>
      </c>
      <c r="F12" s="19">
        <v>0</v>
      </c>
      <c r="G12" s="25" t="s">
        <v>272</v>
      </c>
      <c r="H12" s="27">
        <v>120.98</v>
      </c>
      <c r="I12" s="27">
        <v>115.09</v>
      </c>
      <c r="J12" s="27">
        <v>573.57</v>
      </c>
      <c r="K12" s="27">
        <v>343.09</v>
      </c>
      <c r="L12" s="27">
        <v>200.16</v>
      </c>
      <c r="M12" s="27">
        <v>244.53</v>
      </c>
      <c r="N12" s="27">
        <v>117.03</v>
      </c>
      <c r="O12" s="16">
        <v>0</v>
      </c>
      <c r="P12" s="36">
        <f t="shared" si="2"/>
        <v>0.47859158385474176</v>
      </c>
      <c r="Q12" s="26">
        <v>0</v>
      </c>
      <c r="T12" s="38">
        <v>198600</v>
      </c>
    </row>
    <row r="13" spans="1:17" s="3" customFormat="1" ht="16.5" customHeight="1">
      <c r="A13" s="28" t="s">
        <v>273</v>
      </c>
      <c r="B13" s="23">
        <v>180.82</v>
      </c>
      <c r="C13" s="23">
        <v>180.82</v>
      </c>
      <c r="D13" s="23">
        <v>89.71</v>
      </c>
      <c r="E13" s="24">
        <f t="shared" si="4"/>
        <v>1</v>
      </c>
      <c r="F13" s="24">
        <f aca="true" t="shared" si="5" ref="F13:F18">D13/C13-1</f>
        <v>-0.5038712531799581</v>
      </c>
      <c r="G13" s="25" t="s">
        <v>274</v>
      </c>
      <c r="H13" s="27">
        <v>907.5</v>
      </c>
      <c r="I13" s="27">
        <v>624.38</v>
      </c>
      <c r="J13" s="27">
        <v>369.98</v>
      </c>
      <c r="K13" s="27">
        <v>264.85</v>
      </c>
      <c r="L13" s="27">
        <v>188.06</v>
      </c>
      <c r="M13" s="27">
        <v>74.93</v>
      </c>
      <c r="N13" s="27">
        <v>66.93</v>
      </c>
      <c r="O13" s="16">
        <v>0</v>
      </c>
      <c r="P13" s="36">
        <f t="shared" si="2"/>
        <v>0.8932336847724544</v>
      </c>
      <c r="Q13" s="26">
        <v>0</v>
      </c>
    </row>
    <row r="14" spans="1:20" s="4" customFormat="1" ht="16.5" customHeight="1">
      <c r="A14" s="28" t="s">
        <v>275</v>
      </c>
      <c r="B14" s="23">
        <v>117.65</v>
      </c>
      <c r="C14" s="23">
        <v>117.65</v>
      </c>
      <c r="D14" s="23">
        <v>89.71</v>
      </c>
      <c r="E14" s="24">
        <f t="shared" si="4"/>
        <v>1</v>
      </c>
      <c r="F14" s="24">
        <f t="shared" si="5"/>
        <v>-0.2374840628984276</v>
      </c>
      <c r="G14" s="25" t="s">
        <v>276</v>
      </c>
      <c r="H14" s="26"/>
      <c r="I14" s="26"/>
      <c r="J14" s="16">
        <v>0</v>
      </c>
      <c r="K14" s="16">
        <v>0</v>
      </c>
      <c r="L14" s="26">
        <v>452.91</v>
      </c>
      <c r="M14" s="26">
        <v>342.03</v>
      </c>
      <c r="N14" s="26">
        <v>366.64</v>
      </c>
      <c r="O14" s="27">
        <v>520.2502</v>
      </c>
      <c r="P14" s="36">
        <f t="shared" si="2"/>
        <v>1.0719527526825132</v>
      </c>
      <c r="Q14" s="36">
        <f t="shared" si="3"/>
        <v>0.4189673794457778</v>
      </c>
      <c r="T14" s="38">
        <v>81954238.03</v>
      </c>
    </row>
    <row r="15" spans="1:20" s="4" customFormat="1" ht="16.5" customHeight="1">
      <c r="A15" s="28"/>
      <c r="B15" s="23"/>
      <c r="C15" s="23"/>
      <c r="D15" s="23"/>
      <c r="E15" s="24"/>
      <c r="F15" s="24"/>
      <c r="G15" s="20" t="s">
        <v>83</v>
      </c>
      <c r="H15" s="21">
        <v>87.05</v>
      </c>
      <c r="I15" s="21">
        <v>145.74</v>
      </c>
      <c r="J15" s="21">
        <v>229.26</v>
      </c>
      <c r="K15" s="21">
        <v>239.62</v>
      </c>
      <c r="L15" s="21">
        <f>L16</f>
        <v>329.51</v>
      </c>
      <c r="M15" s="21">
        <v>458.55</v>
      </c>
      <c r="N15" s="21">
        <v>347.79</v>
      </c>
      <c r="O15" s="21">
        <v>290.06</v>
      </c>
      <c r="P15" s="35">
        <f t="shared" si="2"/>
        <v>0.7584560026169448</v>
      </c>
      <c r="Q15" s="35">
        <f t="shared" si="3"/>
        <v>-0.16599097156329978</v>
      </c>
      <c r="T15" s="38">
        <v>1938385.93</v>
      </c>
    </row>
    <row r="16" spans="1:20" s="4" customFormat="1" ht="16.5" customHeight="1">
      <c r="A16" s="18" t="s">
        <v>277</v>
      </c>
      <c r="B16" s="19">
        <v>-1225</v>
      </c>
      <c r="C16" s="19">
        <v>-1225</v>
      </c>
      <c r="D16" s="19">
        <v>0</v>
      </c>
      <c r="E16" s="17">
        <f t="shared" si="4"/>
        <v>1</v>
      </c>
      <c r="F16" s="19">
        <v>0</v>
      </c>
      <c r="G16" s="25" t="s">
        <v>278</v>
      </c>
      <c r="H16" s="27">
        <v>87.05</v>
      </c>
      <c r="I16" s="27">
        <v>145.74</v>
      </c>
      <c r="J16" s="27">
        <v>229.26</v>
      </c>
      <c r="K16" s="27">
        <v>239.62</v>
      </c>
      <c r="L16" s="27">
        <v>329.51</v>
      </c>
      <c r="M16" s="27">
        <v>458.55</v>
      </c>
      <c r="N16" s="27">
        <v>347.79</v>
      </c>
      <c r="O16" s="27">
        <v>290.06</v>
      </c>
      <c r="P16" s="36">
        <f t="shared" si="2"/>
        <v>0.7584560026169448</v>
      </c>
      <c r="Q16" s="36">
        <f t="shared" si="3"/>
        <v>-0.16599097156329978</v>
      </c>
      <c r="T16" s="38"/>
    </row>
    <row r="17" spans="1:20" s="4" customFormat="1" ht="16.5" customHeight="1">
      <c r="A17" s="29"/>
      <c r="B17" s="29"/>
      <c r="C17" s="29"/>
      <c r="D17" s="29"/>
      <c r="E17" s="30"/>
      <c r="F17" s="30"/>
      <c r="G17" s="20" t="s">
        <v>85</v>
      </c>
      <c r="H17" s="21"/>
      <c r="I17" s="21"/>
      <c r="J17" s="16">
        <v>0</v>
      </c>
      <c r="K17" s="21">
        <v>18.01</v>
      </c>
      <c r="L17" s="21">
        <v>400</v>
      </c>
      <c r="M17" s="21">
        <v>366.76</v>
      </c>
      <c r="N17" s="21">
        <v>366.76</v>
      </c>
      <c r="O17" s="21">
        <v>340</v>
      </c>
      <c r="P17" s="35">
        <f t="shared" si="2"/>
        <v>1</v>
      </c>
      <c r="Q17" s="35">
        <f t="shared" si="3"/>
        <v>-0.07296324571927149</v>
      </c>
      <c r="T17" s="38"/>
    </row>
    <row r="18" spans="1:20" s="4" customFormat="1" ht="16.5" customHeight="1">
      <c r="A18" s="15" t="s">
        <v>279</v>
      </c>
      <c r="B18" s="16">
        <v>4105.27</v>
      </c>
      <c r="C18" s="16">
        <v>4105.27</v>
      </c>
      <c r="D18" s="16">
        <v>2468.36</v>
      </c>
      <c r="E18" s="17">
        <f>C18/B18</f>
        <v>1</v>
      </c>
      <c r="F18" s="17">
        <f t="shared" si="5"/>
        <v>-0.3987338226231162</v>
      </c>
      <c r="G18" s="25" t="s">
        <v>280</v>
      </c>
      <c r="H18" s="27"/>
      <c r="I18" s="27"/>
      <c r="J18" s="16">
        <v>0</v>
      </c>
      <c r="K18" s="27">
        <v>18.01</v>
      </c>
      <c r="L18" s="27">
        <v>400</v>
      </c>
      <c r="M18" s="27">
        <v>366.76</v>
      </c>
      <c r="N18" s="27">
        <v>366.76</v>
      </c>
      <c r="O18" s="27">
        <v>340</v>
      </c>
      <c r="P18" s="36">
        <f t="shared" si="2"/>
        <v>1</v>
      </c>
      <c r="Q18" s="36">
        <f t="shared" si="3"/>
        <v>-0.07296324571927149</v>
      </c>
      <c r="T18" s="38"/>
    </row>
    <row r="19" spans="1:20" s="4" customFormat="1" ht="16.5" customHeight="1">
      <c r="A19" s="29"/>
      <c r="B19" s="29"/>
      <c r="C19" s="29"/>
      <c r="D19" s="29"/>
      <c r="E19" s="29"/>
      <c r="F19" s="29"/>
      <c r="G19" s="20" t="s">
        <v>86</v>
      </c>
      <c r="H19" s="21"/>
      <c r="I19" s="21"/>
      <c r="J19" s="16">
        <v>0</v>
      </c>
      <c r="K19" s="21">
        <v>8.85</v>
      </c>
      <c r="L19" s="21">
        <v>5.5</v>
      </c>
      <c r="M19" s="21">
        <v>5.5</v>
      </c>
      <c r="N19" s="21">
        <v>5.5</v>
      </c>
      <c r="O19" s="16">
        <v>0</v>
      </c>
      <c r="P19" s="35">
        <f t="shared" si="2"/>
        <v>1</v>
      </c>
      <c r="Q19" s="16">
        <v>0</v>
      </c>
      <c r="T19" s="38">
        <v>3897178.21</v>
      </c>
    </row>
    <row r="20" spans="1:20" s="4" customFormat="1" ht="16.5" customHeight="1">
      <c r="A20" s="29"/>
      <c r="B20" s="29"/>
      <c r="C20" s="29"/>
      <c r="D20" s="29"/>
      <c r="E20" s="29"/>
      <c r="F20" s="29"/>
      <c r="G20" s="25" t="s">
        <v>281</v>
      </c>
      <c r="H20" s="27"/>
      <c r="I20" s="27"/>
      <c r="J20" s="16">
        <v>0</v>
      </c>
      <c r="K20" s="27">
        <v>8.85</v>
      </c>
      <c r="L20" s="27">
        <v>5.5</v>
      </c>
      <c r="M20" s="27">
        <v>5.5</v>
      </c>
      <c r="N20" s="27">
        <v>5.5</v>
      </c>
      <c r="O20" s="16">
        <v>0</v>
      </c>
      <c r="P20" s="36">
        <f t="shared" si="2"/>
        <v>1</v>
      </c>
      <c r="Q20" s="16">
        <v>0</v>
      </c>
      <c r="T20" s="39"/>
    </row>
    <row r="21" spans="1:20" s="4" customFormat="1" ht="16.5" customHeight="1">
      <c r="A21" s="29"/>
      <c r="B21" s="29"/>
      <c r="C21" s="29"/>
      <c r="D21" s="29"/>
      <c r="E21" s="29"/>
      <c r="F21" s="29"/>
      <c r="G21" s="25"/>
      <c r="H21" s="27"/>
      <c r="I21" s="27"/>
      <c r="J21" s="16"/>
      <c r="K21" s="27"/>
      <c r="L21" s="27"/>
      <c r="M21" s="27"/>
      <c r="N21" s="27"/>
      <c r="O21" s="27"/>
      <c r="P21" s="16">
        <v>0</v>
      </c>
      <c r="Q21" s="16">
        <v>0</v>
      </c>
      <c r="T21" s="40"/>
    </row>
    <row r="22" spans="1:20" s="4" customFormat="1" ht="16.5" customHeight="1">
      <c r="A22" s="29"/>
      <c r="B22" s="29"/>
      <c r="C22" s="29"/>
      <c r="D22" s="29"/>
      <c r="E22" s="29"/>
      <c r="F22" s="29"/>
      <c r="G22" s="15" t="s">
        <v>282</v>
      </c>
      <c r="H22" s="21"/>
      <c r="I22" s="21"/>
      <c r="J22" s="16"/>
      <c r="K22" s="21"/>
      <c r="L22" s="21"/>
      <c r="M22" s="16">
        <v>0</v>
      </c>
      <c r="N22" s="21">
        <v>2574.05</v>
      </c>
      <c r="O22" s="16">
        <v>0</v>
      </c>
      <c r="P22" s="35">
        <v>1</v>
      </c>
      <c r="Q22" s="16">
        <v>0</v>
      </c>
      <c r="T22" s="38">
        <v>1485434.4</v>
      </c>
    </row>
    <row r="23" spans="1:20" s="4" customFormat="1" ht="16.5" customHeight="1">
      <c r="A23" s="29"/>
      <c r="B23" s="29"/>
      <c r="C23" s="29"/>
      <c r="D23" s="29"/>
      <c r="E23" s="29"/>
      <c r="F23" s="29"/>
      <c r="G23" s="25"/>
      <c r="H23" s="27"/>
      <c r="I23" s="27"/>
      <c r="J23" s="16"/>
      <c r="K23" s="27"/>
      <c r="L23" s="27"/>
      <c r="M23" s="27"/>
      <c r="N23" s="27"/>
      <c r="O23" s="27"/>
      <c r="P23" s="16">
        <v>0</v>
      </c>
      <c r="Q23" s="16">
        <v>0</v>
      </c>
      <c r="T23" s="39"/>
    </row>
    <row r="24" spans="1:20" s="4" customFormat="1" ht="16.5" customHeight="1">
      <c r="A24" s="31" t="s">
        <v>87</v>
      </c>
      <c r="B24" s="16">
        <f>B6+B18+B16</f>
        <v>10892.48</v>
      </c>
      <c r="C24" s="16">
        <f>C6+C18+C16</f>
        <v>11108.15</v>
      </c>
      <c r="D24" s="16">
        <f>D6+D18+D16</f>
        <v>7058.07</v>
      </c>
      <c r="E24" s="17">
        <f>C24/B24</f>
        <v>1.019799898645671</v>
      </c>
      <c r="F24" s="17">
        <f>D24/C24-1</f>
        <v>-0.3646043670638225</v>
      </c>
      <c r="G24" s="31" t="s">
        <v>94</v>
      </c>
      <c r="H24" s="16" t="e">
        <f>H15+H9+#REF!+H7+#REF!+#REF!+#REF!+#REF!+#REF!</f>
        <v>#REF!</v>
      </c>
      <c r="I24" s="16" t="e">
        <f>I15+I9+#REF!+I7+#REF!+#REF!+#REF!+#REF!+#REF!</f>
        <v>#REF!</v>
      </c>
      <c r="J24" s="16" t="e">
        <f>J15+J9+#REF!+J7+#REF!+#REF!+#REF!+#REF!+#REF!+#REF!+J17+J19</f>
        <v>#REF!</v>
      </c>
      <c r="K24" s="16" t="e">
        <f>K15+K9+#REF!+K7+#REF!+#REF!+#REF!+#REF!+#REF!+#REF!+K17+K19</f>
        <v>#REF!</v>
      </c>
      <c r="L24" s="16" t="e">
        <f>L15+L9+#REF!+L7+#REF!+#REF!+#REF!+#REF!+#REF!+#REF!+L17+L19+0.01</f>
        <v>#REF!</v>
      </c>
      <c r="M24" s="16">
        <f aca="true" t="shared" si="6" ref="M24:O24">M6+M22</f>
        <v>7545.27</v>
      </c>
      <c r="N24" s="16">
        <f t="shared" si="6"/>
        <v>8639.79</v>
      </c>
      <c r="O24" s="16">
        <f t="shared" si="6"/>
        <v>7007.7302</v>
      </c>
      <c r="P24" s="35">
        <f>N24/M24</f>
        <v>1.1450604153330497</v>
      </c>
      <c r="Q24" s="35">
        <f>O24/N24-1</f>
        <v>-0.1889004015143887</v>
      </c>
      <c r="T24" s="39"/>
    </row>
    <row r="25" spans="1:20" s="4" customFormat="1" ht="16.5" customHeight="1">
      <c r="A25"/>
      <c r="B25"/>
      <c r="C25"/>
      <c r="D25"/>
      <c r="E25"/>
      <c r="F2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T25" s="39"/>
    </row>
    <row r="26" spans="1:20" s="4" customFormat="1" ht="16.5" customHeight="1">
      <c r="A26"/>
      <c r="B26"/>
      <c r="C26"/>
      <c r="D26"/>
      <c r="E26"/>
      <c r="F2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T26" s="39"/>
    </row>
    <row r="27" spans="1:20" s="4" customFormat="1" ht="16.5" customHeight="1">
      <c r="A27"/>
      <c r="B27"/>
      <c r="C27"/>
      <c r="D27"/>
      <c r="E27"/>
      <c r="F27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T27" s="39"/>
    </row>
    <row r="28" spans="1:20" s="4" customFormat="1" ht="16.5" customHeight="1">
      <c r="A28"/>
      <c r="B28"/>
      <c r="C28"/>
      <c r="D28"/>
      <c r="E28"/>
      <c r="F28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T28" s="39"/>
    </row>
    <row r="29" spans="1:20" s="4" customFormat="1" ht="16.5" customHeight="1">
      <c r="A29"/>
      <c r="B29"/>
      <c r="C29"/>
      <c r="D29"/>
      <c r="E29"/>
      <c r="F29"/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T29" s="39"/>
    </row>
    <row r="30" spans="1:20" s="4" customFormat="1" ht="16.5" customHeight="1">
      <c r="A30"/>
      <c r="B30"/>
      <c r="C30"/>
      <c r="D30"/>
      <c r="E30"/>
      <c r="F30"/>
      <c r="G30" s="6"/>
      <c r="H30" s="6"/>
      <c r="I30" s="6"/>
      <c r="J30" s="6"/>
      <c r="K30" s="6"/>
      <c r="L30" s="6"/>
      <c r="M30" s="6"/>
      <c r="N30" s="6"/>
      <c r="O30" s="6"/>
      <c r="P30" s="7"/>
      <c r="Q30" s="7"/>
      <c r="T30" s="39"/>
    </row>
    <row r="31" spans="1:20" s="4" customFormat="1" ht="16.5" customHeight="1">
      <c r="A31"/>
      <c r="B31"/>
      <c r="C31"/>
      <c r="D31"/>
      <c r="E31"/>
      <c r="F31"/>
      <c r="G31" s="6"/>
      <c r="H31" s="6"/>
      <c r="I31" s="6"/>
      <c r="J31" s="6"/>
      <c r="K31" s="6"/>
      <c r="L31" s="6"/>
      <c r="M31" s="6"/>
      <c r="N31" s="6"/>
      <c r="O31" s="6"/>
      <c r="P31" s="7"/>
      <c r="Q31" s="7"/>
      <c r="T31" s="39"/>
    </row>
    <row r="32" spans="1:20" s="4" customFormat="1" ht="16.5" customHeight="1">
      <c r="A32"/>
      <c r="B32"/>
      <c r="C32"/>
      <c r="D32"/>
      <c r="E32"/>
      <c r="F32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T32" s="41"/>
    </row>
    <row r="33" spans="1:20" s="4" customFormat="1" ht="16.5" customHeight="1">
      <c r="A33"/>
      <c r="B33"/>
      <c r="C33"/>
      <c r="D33"/>
      <c r="E33"/>
      <c r="F33"/>
      <c r="G33" s="6"/>
      <c r="H33" s="6"/>
      <c r="I33" s="6"/>
      <c r="J33" s="6"/>
      <c r="K33" s="6"/>
      <c r="L33" s="6"/>
      <c r="M33" s="6"/>
      <c r="N33" s="6"/>
      <c r="O33" s="6"/>
      <c r="P33" s="7"/>
      <c r="Q33" s="7"/>
      <c r="T33" s="41"/>
    </row>
    <row r="34" spans="1:20" s="4" customFormat="1" ht="16.5" customHeight="1">
      <c r="A34"/>
      <c r="B34"/>
      <c r="C34"/>
      <c r="D34"/>
      <c r="E34"/>
      <c r="F34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T34" s="41"/>
    </row>
    <row r="35" spans="1:17" s="5" customFormat="1" ht="16.5" customHeight="1">
      <c r="A35"/>
      <c r="B35"/>
      <c r="C35"/>
      <c r="D35"/>
      <c r="E35"/>
      <c r="F35"/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</row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</sheetData>
  <sheetProtection/>
  <mergeCells count="3">
    <mergeCell ref="A2:Q2"/>
    <mergeCell ref="A4:F4"/>
    <mergeCell ref="G4:Q4"/>
  </mergeCells>
  <printOptions horizontalCentered="1"/>
  <pageMargins left="0.39" right="0.39" top="0.58" bottom="0.39" header="0.93" footer="0.31"/>
  <pageSetup firstPageNumber="14" useFirstPageNumber="1" horizontalDpi="600" verticalDpi="600" orientation="landscape" paperSize="9" scale="75"/>
  <headerFooter scaleWithDoc="0" alignWithMargins="0">
    <oddFooter>&amp;C&amp;"Times New Roman"— 14—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SWCZ001</dc:creator>
  <cp:keywords/>
  <dc:description/>
  <cp:lastModifiedBy>SWCZ001</cp:lastModifiedBy>
  <cp:lastPrinted>2017-03-06T01:07:31Z</cp:lastPrinted>
  <dcterms:created xsi:type="dcterms:W3CDTF">2014-01-26T06:12:49Z</dcterms:created>
  <dcterms:modified xsi:type="dcterms:W3CDTF">2018-02-07T19:29:07Z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